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сайт\"/>
    </mc:Choice>
  </mc:AlternateContent>
  <xr:revisionPtr revIDLastSave="0" documentId="13_ncr:1_{981ACC18-1883-4D48-908C-CC62FEE4B8BF}" xr6:coauthVersionLast="47" xr6:coauthVersionMax="47" xr10:uidLastSave="{00000000-0000-0000-0000-000000000000}"/>
  <bookViews>
    <workbookView xWindow="3510" yWindow="495" windowWidth="13410" windowHeight="15105" xr2:uid="{00000000-000D-0000-FFFF-FFFF00000000}"/>
  </bookViews>
  <sheets>
    <sheet name="Реестр учреждений" sheetId="1" r:id="rId1"/>
  </sheets>
  <definedNames>
    <definedName name="Z_0E975661_CA74_4C7B_B211_DB169883E34E_.wvu.PrintTitles" localSheetId="0" hidden="1">'Реестр учреждений'!$3:$4</definedName>
    <definedName name="Z_0E975661_CA74_4C7B_B211_DB169883E34E_.wvu.Rows" localSheetId="0" hidden="1">'Реестр учреждений'!$26:$28,'Реестр учреждений'!$82:$92</definedName>
    <definedName name="Z_20C5E4A5_3D43_4928_9749_C7DDD9EDEB1F_.wvu.PrintTitles" localSheetId="0" hidden="1">'Реестр учреждений'!$3:$4</definedName>
    <definedName name="Z_20C5E4A5_3D43_4928_9749_C7DDD9EDEB1F_.wvu.Rows" localSheetId="0" hidden="1">'Реестр учреждений'!$26:$28,'Реестр учреждений'!$82:$92,'Реестр учреждений'!$98:$100</definedName>
    <definedName name="Z_3CCF9F74_4B3F_4E78_B359_764A877D07DD_.wvu.PrintTitles" localSheetId="0" hidden="1">'Реестр учреждений'!$3:$4</definedName>
    <definedName name="Z_3CCF9F74_4B3F_4E78_B359_764A877D07DD_.wvu.Rows" localSheetId="0" hidden="1">'Реестр учреждений'!$26:$28,'Реестр учреждений'!$85:$92,'Реестр учреждений'!$98:$100</definedName>
    <definedName name="Z_4492E150_292F_45F6_AC31_F3F194B83A7E_.wvu.PrintArea" localSheetId="0" hidden="1">'Реестр учреждений'!$A$1:$X$109</definedName>
    <definedName name="Z_4492E150_292F_45F6_AC31_F3F194B83A7E_.wvu.PrintTitles" localSheetId="0" hidden="1">'Реестр учреждений'!$3:$4</definedName>
    <definedName name="Z_4492E150_292F_45F6_AC31_F3F194B83A7E_.wvu.Rows" localSheetId="0" hidden="1">'Реестр учреждений'!$26:$28,'Реестр учреждений'!$43:$43,'Реестр учреждений'!$82:$92,'Реестр учреждений'!$98:$100</definedName>
    <definedName name="Z_75A53E4C_4F6F_4A71_95C4_C400AC6F04D4_.wvu.PrintTitles" localSheetId="0" hidden="1">'Реестр учреждений'!$3:$4</definedName>
    <definedName name="Z_75A53E4C_4F6F_4A71_95C4_C400AC6F04D4_.wvu.Rows" localSheetId="0" hidden="1">'Реестр учреждений'!$26:$28,'Реестр учреждений'!$38:$38,'Реестр учреждений'!$43:$43,'Реестр учреждений'!$82:$92</definedName>
    <definedName name="Z_CA4C341A_4123_4F51_BBCE_A078E8552788_.wvu.PrintTitles" localSheetId="0" hidden="1">'Реестр учреждений'!$3:$4</definedName>
    <definedName name="Z_CA4C341A_4123_4F51_BBCE_A078E8552788_.wvu.Rows" localSheetId="0" hidden="1">'Реестр учреждений'!$26:$28,'Реестр учреждений'!$82:$92</definedName>
    <definedName name="Z_DE2378A8_3E24_4174_BCD2_FF1979315585_.wvu.PrintTitles" localSheetId="0" hidden="1">'Реестр учреждений'!$3:$4</definedName>
    <definedName name="Z_DE2378A8_3E24_4174_BCD2_FF1979315585_.wvu.Rows" localSheetId="0" hidden="1">'Реестр учреждений'!$26:$28,'Реестр учреждений'!$43:$43,'Реестр учреждений'!$82:$92,'Реестр учреждений'!$98:$100</definedName>
    <definedName name="Z_DFD1C3D8_FEAD_43AB_9482_DDDFCF9D41ED_.wvu.PrintTitles" localSheetId="0" hidden="1">'Реестр учреждений'!$3:$4</definedName>
    <definedName name="Z_DFD1C3D8_FEAD_43AB_9482_DDDFCF9D41ED_.wvu.Rows" localSheetId="0" hidden="1">'Реестр учреждений'!$26:$28,'Реестр учреждений'!$82:$92</definedName>
    <definedName name="_xlnm.Print_Titles" localSheetId="0">'Реестр учреждений'!$3:$4</definedName>
    <definedName name="_xlnm.Print_Area" localSheetId="0">'Реестр учреждений'!$A$1:$X$109</definedName>
  </definedNames>
  <calcPr calcId="191029"/>
  <customWorkbookViews>
    <customWorkbookView name="BEST - Личное представление" guid="{20C5E4A5-3D43-4928-9749-C7DDD9EDEB1F}" mergeInterval="0" personalView="1" maximized="1" windowWidth="1916" windowHeight="855" activeSheetId="1"/>
    <customWorkbookView name="Администратор - Личное представление" guid="{75A53E4C-4F6F-4A71-95C4-C400AC6F04D4}" mergeInterval="0" personalView="1" maximized="1" windowWidth="1916" windowHeight="854" activeSheetId="1"/>
    <customWorkbookView name="Пользователь Windows - Личное представление" guid="{0E975661-CA74-4C7B-B211-DB169883E34E}" mergeInterval="0" personalView="1" maximized="1" windowWidth="1916" windowHeight="814" activeSheetId="1"/>
    <customWorkbookView name="Admin - Личное представление" guid="{3CCF9F74-4B3F-4E78-B359-764A877D07DD}" mergeInterval="0" personalView="1" maximized="1" xWindow="-8" yWindow="-8" windowWidth="1936" windowHeight="1056" activeSheetId="1"/>
    <customWorkbookView name="Admins_PK - Личное представление" guid="{CA4C341A-4123-4F51-BBCE-A078E8552788}" mergeInterval="0" personalView="1" maximized="1" windowWidth="1916" windowHeight="854" activeSheetId="1"/>
    <customWorkbookView name="Admins-PK - Личное представление" guid="{DE2378A8-3E24-4174-BCD2-FF1979315585}" mergeInterval="0" personalView="1" maximized="1" windowWidth="1916" windowHeight="854" activeSheetId="1"/>
    <customWorkbookView name="FinUprD1 - Личное представление" guid="{4492E150-292F-45F6-AC31-F3F194B83A7E}" mergeInterval="0" personalView="1" maximized="1" xWindow="-8" yWindow="-8" windowWidth="1936" windowHeight="1056" activeSheetId="1"/>
    <customWorkbookView name="AdminsPK - Личное представление" guid="{DFD1C3D8-FEAD-43AB-9482-DDDFCF9D41ED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N39" i="1"/>
  <c r="S39" i="1"/>
  <c r="J40" i="1"/>
  <c r="N40" i="1"/>
  <c r="S40" i="1"/>
  <c r="J41" i="1"/>
  <c r="N41" i="1"/>
  <c r="S41" i="1"/>
  <c r="J42" i="1"/>
  <c r="N42" i="1"/>
  <c r="S42" i="1"/>
  <c r="J44" i="1"/>
  <c r="N44" i="1"/>
  <c r="S44" i="1"/>
  <c r="J45" i="1"/>
  <c r="N45" i="1"/>
  <c r="S45" i="1"/>
  <c r="J46" i="1"/>
  <c r="N46" i="1"/>
  <c r="S46" i="1"/>
  <c r="J47" i="1"/>
  <c r="N47" i="1"/>
  <c r="S47" i="1"/>
  <c r="J49" i="1"/>
  <c r="N49" i="1"/>
  <c r="S49" i="1"/>
  <c r="N50" i="1"/>
  <c r="S50" i="1"/>
  <c r="J51" i="1"/>
  <c r="N51" i="1"/>
  <c r="S51" i="1"/>
  <c r="J52" i="1"/>
  <c r="N52" i="1"/>
  <c r="S52" i="1"/>
  <c r="J53" i="1"/>
  <c r="N53" i="1"/>
  <c r="S53" i="1"/>
  <c r="J54" i="1"/>
  <c r="N54" i="1"/>
  <c r="S54" i="1"/>
  <c r="J55" i="1"/>
  <c r="N55" i="1"/>
  <c r="S55" i="1"/>
  <c r="J56" i="1"/>
  <c r="N56" i="1"/>
  <c r="S56" i="1"/>
  <c r="J57" i="1"/>
  <c r="N57" i="1"/>
  <c r="S57" i="1"/>
  <c r="J58" i="1"/>
  <c r="N58" i="1"/>
  <c r="S58" i="1"/>
  <c r="J59" i="1"/>
  <c r="N59" i="1"/>
  <c r="S59" i="1"/>
  <c r="J60" i="1"/>
  <c r="N60" i="1"/>
  <c r="S60" i="1"/>
  <c r="J61" i="1"/>
  <c r="N61" i="1"/>
  <c r="S61" i="1"/>
  <c r="J62" i="1"/>
  <c r="N62" i="1"/>
  <c r="S62" i="1"/>
  <c r="J63" i="1"/>
  <c r="N63" i="1"/>
  <c r="S63" i="1"/>
  <c r="J64" i="1"/>
  <c r="N64" i="1"/>
  <c r="S64" i="1"/>
  <c r="J65" i="1"/>
  <c r="N65" i="1"/>
  <c r="S65" i="1"/>
  <c r="J66" i="1"/>
  <c r="N66" i="1"/>
  <c r="S66" i="1"/>
  <c r="J68" i="1"/>
  <c r="N68" i="1"/>
  <c r="S68" i="1"/>
  <c r="J69" i="1"/>
  <c r="N69" i="1"/>
  <c r="S69" i="1"/>
  <c r="J70" i="1"/>
  <c r="N70" i="1"/>
  <c r="S70" i="1"/>
  <c r="J71" i="1"/>
  <c r="N71" i="1"/>
  <c r="S71" i="1"/>
  <c r="J72" i="1"/>
  <c r="N72" i="1"/>
  <c r="S72" i="1"/>
  <c r="J73" i="1"/>
  <c r="N73" i="1"/>
  <c r="S73" i="1"/>
  <c r="J74" i="1"/>
  <c r="N74" i="1"/>
  <c r="S74" i="1"/>
  <c r="J75" i="1"/>
  <c r="N75" i="1"/>
  <c r="S75" i="1"/>
  <c r="J76" i="1"/>
  <c r="N76" i="1"/>
  <c r="S76" i="1"/>
  <c r="J77" i="1"/>
  <c r="N77" i="1"/>
  <c r="S77" i="1"/>
  <c r="J78" i="1"/>
  <c r="N78" i="1"/>
  <c r="J79" i="1"/>
  <c r="N79" i="1"/>
  <c r="J80" i="1"/>
  <c r="N80" i="1"/>
  <c r="J81" i="1"/>
  <c r="N81" i="1"/>
  <c r="J82" i="1"/>
  <c r="N82" i="1"/>
  <c r="P82" i="1"/>
  <c r="S82" i="1"/>
  <c r="J83" i="1"/>
  <c r="N83" i="1"/>
  <c r="P83" i="1"/>
  <c r="S83" i="1"/>
  <c r="J84" i="1"/>
  <c r="N84" i="1"/>
  <c r="P84" i="1"/>
  <c r="N95" i="1" l="1"/>
  <c r="J95" i="1"/>
  <c r="S94" i="1"/>
  <c r="N94" i="1"/>
  <c r="J94" i="1"/>
  <c r="S93" i="1"/>
  <c r="N93" i="1"/>
  <c r="J93" i="1"/>
</calcChain>
</file>

<file path=xl/sharedStrings.xml><?xml version="1.0" encoding="utf-8"?>
<sst xmlns="http://schemas.openxmlformats.org/spreadsheetml/2006/main" count="486" uniqueCount="242">
  <si>
    <t>№ п/п</t>
  </si>
  <si>
    <t>Полное официальное наименование муниципального учреждения</t>
  </si>
  <si>
    <t>Юридический адрес</t>
  </si>
  <si>
    <t>Штатная численность работников (включая тарификацию), единиц</t>
  </si>
  <si>
    <t>Код</t>
  </si>
  <si>
    <t>Наименование</t>
  </si>
  <si>
    <t>ОКВЭД (основной вид деятельности)</t>
  </si>
  <si>
    <t>…</t>
  </si>
  <si>
    <t>ИТОГО</t>
  </si>
  <si>
    <t>Учредитель (орган местного самоуправления)</t>
  </si>
  <si>
    <t>Муниципальные казенные учреждения</t>
  </si>
  <si>
    <t>Муниципальные автономные учреждения</t>
  </si>
  <si>
    <t>Муниципальные бюджетные учреждения</t>
  </si>
  <si>
    <t>ОМСУ</t>
  </si>
  <si>
    <t>Муниципальные унитарные предприятия</t>
  </si>
  <si>
    <t>Фактическая численность работников, чел. (актуальная)</t>
  </si>
  <si>
    <t>Выручка</t>
  </si>
  <si>
    <t xml:space="preserve">Себестоимость продаж </t>
  </si>
  <si>
    <t xml:space="preserve">Чистая прибыль (убыток) </t>
  </si>
  <si>
    <t>Наличие собств. земел. участка в хозведении, га</t>
  </si>
  <si>
    <r>
      <t>Наличие собств. имущества в хозведении (здания), м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</si>
  <si>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Объем средств  сметы / муниципального задания, тыс. рублей </t>
  </si>
  <si>
    <t xml:space="preserve">Объем средств  приносящей доход деятельности, тыс. рублей </t>
  </si>
  <si>
    <t>243550,Брянская область, пгт Погар, ул. Ленина, д.1</t>
  </si>
  <si>
    <t>Контрольно-счетная палата Погарского района</t>
  </si>
  <si>
    <t>Погарский районный Совет народных депутатов</t>
  </si>
  <si>
    <t>Комитет по управлению  муниципальным имуществом администрации Погарского района</t>
  </si>
  <si>
    <t>Финансовое управление администрации Погарского района</t>
  </si>
  <si>
    <t>Управление образования администрации Погарского района</t>
  </si>
  <si>
    <t>84.11.3</t>
  </si>
  <si>
    <t>Деятельность органов местного самоуправления по управлению вопросами общего характера</t>
  </si>
  <si>
    <t>МКУ  "Единая дежурно-диспетчерская  служба Погарского района"</t>
  </si>
  <si>
    <t>МБУ "МФЦ ПГ и МУ в Погарском районе"</t>
  </si>
  <si>
    <t>243550, Брянская область, пгт Погар, ул.Ленина, д.111</t>
  </si>
  <si>
    <t>84.30</t>
  </si>
  <si>
    <t>Деятельность в области обязательного социального обеспечения</t>
  </si>
  <si>
    <t>МБУ "Гетуновский сельский Дом Культуры…"</t>
  </si>
  <si>
    <t>Гетуновская сельская администрация</t>
  </si>
  <si>
    <t>МБУК "ЦБС Погарского района"</t>
  </si>
  <si>
    <t>243550,Брянская область, пгт Погар, пл.Советская, д.20</t>
  </si>
  <si>
    <t>91.01</t>
  </si>
  <si>
    <t>Деятельность библиотек и архивов</t>
  </si>
  <si>
    <t>МБУ "ФОК Погарского района"</t>
  </si>
  <si>
    <t>243550, Брянская область, пгт Погар, ул. Чехова, д.9а</t>
  </si>
  <si>
    <t> Деятельность в области спорта</t>
  </si>
  <si>
    <t>МБУК "Музей "Радогощ"</t>
  </si>
  <si>
    <t>243550, Брянская область, пгт. Погар, пл. Советская, д7</t>
  </si>
  <si>
    <t>91.02</t>
  </si>
  <si>
    <t>Деятельность музеев</t>
  </si>
  <si>
    <t>МБУК "Погарский районный Дом культуры"</t>
  </si>
  <si>
    <t>243550, Брянская область, пгт. Погар, пл. Советская, д1</t>
  </si>
  <si>
    <t>90.04.3</t>
  </si>
  <si>
    <t>Деятельность учреждений клубного типа: клубов, дворцов и домов культуры, домов народного творчества</t>
  </si>
  <si>
    <t>муниципальное автономное учреждение Погарского района "Спортивный центр "Одиссей"</t>
  </si>
  <si>
    <t>243550, Брянская область, пгт Погар, ул.2-й квартал, д.19</t>
  </si>
  <si>
    <t>Деятельность в области спорта</t>
  </si>
  <si>
    <t>МУП "Погарский ЛСПК"</t>
  </si>
  <si>
    <t>243550, пгт Погар, ул.Ленина,172</t>
  </si>
  <si>
    <t>лесоводство и лесозаготовки</t>
  </si>
  <si>
    <t>243550, пгт Погар, ул. Советская,7</t>
  </si>
  <si>
    <t>МУП МУЖКХ</t>
  </si>
  <si>
    <t>243550, пгт Погар, ул. Советская,22</t>
  </si>
  <si>
    <t>68.32.1</t>
  </si>
  <si>
    <t>управление эксплуататцией жилого фонда</t>
  </si>
  <si>
    <t>81.29.9</t>
  </si>
  <si>
    <t>деятельность по чистке и уборке</t>
  </si>
  <si>
    <t>МУП "Машинотехнологическая станция Погарского района"</t>
  </si>
  <si>
    <t>243550, пгт Погар, ул. Полевая, д.6</t>
  </si>
  <si>
    <t>01.41.1</t>
  </si>
  <si>
    <t>предоставление услуг, связанных с производством с/х продукции</t>
  </si>
  <si>
    <t>МУП "Погарский районный водоканал"</t>
  </si>
  <si>
    <t>водоотведение прочие</t>
  </si>
  <si>
    <t>85.14</t>
  </si>
  <si>
    <t>85.13</t>
  </si>
  <si>
    <t>85.12</t>
  </si>
  <si>
    <t>85.11</t>
  </si>
  <si>
    <t>образование дошкольное</t>
  </si>
  <si>
    <t>85.41</t>
  </si>
  <si>
    <t>93.19</t>
  </si>
  <si>
    <t>243561,Брянская область,Погарский район,с.Борщово ,ул. Сабурова, д.60</t>
  </si>
  <si>
    <t>84.11.35</t>
  </si>
  <si>
    <t>Деятельность органов местного самоуправления сельских поселений</t>
  </si>
  <si>
    <t>243558,Брянская область,Погарский район,д.Вадьковка ,ул. Комсомольская, д.4</t>
  </si>
  <si>
    <t>243570,Брянская область,Погарский район,с.Витемля ,ул. Школьная, д.1</t>
  </si>
  <si>
    <t>243543,Брянская область,Погарский район,п.Гетуновка,ул.Центральная,д.18</t>
  </si>
  <si>
    <t>243560,Брянская область,Погарский район,с.Городище,ул.Чапаева,д.2</t>
  </si>
  <si>
    <t>243540,Брянская область,Погарский район,с.Гринево,ул.Новая,д.1</t>
  </si>
  <si>
    <t>Долботовская сельская администрация</t>
  </si>
  <si>
    <t>243554,Брянская область,Погарский район,д.Долботово,ул.Новая,д.18</t>
  </si>
  <si>
    <t>243563,Брянская область,Погарский район,с.Кистер,ул.Центральная,д.3</t>
  </si>
  <si>
    <t>243575,Брянская область,Погарский район,с.Посудичи,ул.Советская,д.68</t>
  </si>
  <si>
    <t>243558,Брянская область,Погарский район,с.Суворово,ул.Первомайская,д.35а</t>
  </si>
  <si>
    <t>Чаусовская сельская администрация</t>
  </si>
  <si>
    <t>243553,Брянская область,Погарский район,с.Юдиново,ул.Бойня,д.1</t>
  </si>
  <si>
    <t>93.11</t>
  </si>
  <si>
    <t>Администрация Погарского района Брянской области</t>
  </si>
  <si>
    <t>243550 Брянская обл. пгт Погар,ул.Ленина,д.1а</t>
  </si>
  <si>
    <t>Муниципальное казенное учреждение "Хозяйственно-эксплуатационная контора Погарского района"</t>
  </si>
  <si>
    <t>82.11</t>
  </si>
  <si>
    <t>деятельность административно-хозяйственная комплексная  по обеспечению работы организаций</t>
  </si>
  <si>
    <t>243556 Брянская обл., Погарский р-он, с. Чеховка, ул. Новая д.37</t>
  </si>
  <si>
    <t>243575 Брянская обл., Погарский р-он, с. Посудичи, ул Советская д.65</t>
  </si>
  <si>
    <t>243557 Брянская обл., Погарский р-он, д. Романовка, ул. Заречная д. 34</t>
  </si>
  <si>
    <t>0210</t>
  </si>
  <si>
    <t>243543,Брянская область,Погарский район, п.Гетуновка, ул.Центральная, д.20</t>
  </si>
  <si>
    <t>82.20</t>
  </si>
  <si>
    <t>Деятельность центров обработки телефонных вызовов</t>
  </si>
  <si>
    <t>нет</t>
  </si>
  <si>
    <t>Решением арбитражного суда Брянской области от 20 февраля 2018 года по делу №А09-2955/2017  МУП "Машинотехнологическая станция Погарского района" несостоятельным должником (банкротом)</t>
  </si>
  <si>
    <t>ИНН</t>
  </si>
  <si>
    <t>Витемлянская сельская администрация Погарского района Брянской области</t>
  </si>
  <si>
    <t>Гетуновская сельская администрация Погарского района Брянской области</t>
  </si>
  <si>
    <t>Деятельность учреждений клубного типа:клубов,дворцов и домов культуры,домов народного творчества</t>
  </si>
  <si>
    <t>Городищенская сельская администрация Погарского района Брянской области</t>
  </si>
  <si>
    <t>Гриневская сельская администрация Погарского района Брянской области</t>
  </si>
  <si>
    <t>Кистерская сельская администрация Погарского района Брянской области</t>
  </si>
  <si>
    <t>Вадьковская сельская администрация Погарского района Брянской области</t>
  </si>
  <si>
    <t>Борщовская сельская администрация Погарского района Брянской области</t>
  </si>
  <si>
    <t>Посудичская сельская администрация Погарского района Брянской области</t>
  </si>
  <si>
    <t>Суворовская сельская администрация Погарского района Брянской области</t>
  </si>
  <si>
    <t>Чаусовская сельская администрация Погарского района Брянской области</t>
  </si>
  <si>
    <t>Юдиновская сельская администрация Погарского района Брянской области</t>
  </si>
  <si>
    <t>243571,Брянская область,Погарский район,с.Чаусы,ул.Корпоративная,д.11</t>
  </si>
  <si>
    <t>Борщовская сельская администрация</t>
  </si>
  <si>
    <t>Вадьковская сельская администрация</t>
  </si>
  <si>
    <t>Витемлянская сельская администрация</t>
  </si>
  <si>
    <t>Гриневская сельская администрация</t>
  </si>
  <si>
    <t>Кистерская сельская администрация</t>
  </si>
  <si>
    <t>Посудичская сельская администрация</t>
  </si>
  <si>
    <t>Суворовская сельская администрация</t>
  </si>
  <si>
    <t>Юдиновская сельская администрация</t>
  </si>
  <si>
    <t>75.11.31</t>
  </si>
  <si>
    <t>84.11.31</t>
  </si>
  <si>
    <t>Долботовская сельская администрация Погарского района Брянской области</t>
  </si>
  <si>
    <t>МБОУ Андрейковичская СОШ</t>
  </si>
  <si>
    <t>243565, Брянская обл., Погарский район с. Андрейковичи ул.Зеленая д.17</t>
  </si>
  <si>
    <t>Образование среднее общее</t>
  </si>
  <si>
    <t xml:space="preserve">МБОУ Березовская ООШ              </t>
  </si>
  <si>
    <t>243565, Брянская обл., Погарский район с.Борщево, ул. Яковца д.43</t>
  </si>
  <si>
    <t xml:space="preserve">МБОУ Борщовская СОШ              </t>
  </si>
  <si>
    <t>МБОУ Бобрикская СОШ</t>
  </si>
  <si>
    <t>243565, Брянская обл., Погарский район с. Бобрик ул. Школьная д.6</t>
  </si>
  <si>
    <t>МБОУ Витемлянская СОШ</t>
  </si>
  <si>
    <t>243565, Брянская обл., Погарский район с. Витемля ул. Школьная д.9</t>
  </si>
  <si>
    <t xml:space="preserve">МБОУ Вадьковская СОШ             </t>
  </si>
  <si>
    <t>243565, Брянская обл., Погарский район д. Вадьковка ул. Пролетарская д.2</t>
  </si>
  <si>
    <t xml:space="preserve">МБОУ Граборовская НОШ            </t>
  </si>
  <si>
    <t>243565, Брянская обл., Погарский район п. Чайкино ул. Светлая д.8</t>
  </si>
  <si>
    <t>Образование начальное общее</t>
  </si>
  <si>
    <t xml:space="preserve">МБОУ Гетуновская СОШ </t>
  </si>
  <si>
    <t>243565, Брянская обл., Погарский район п.Гетуновка ул. В.Ивашкова д.24</t>
  </si>
  <si>
    <t>МБОУ Гриневская СОШ</t>
  </si>
  <si>
    <t>243565, Брянская обл., Погарский район с. Гринево ул.Новая д.7а</t>
  </si>
  <si>
    <t xml:space="preserve">МБОУ Городищенская СОШ        </t>
  </si>
  <si>
    <t>243565, Брянская обл., Погарский район с.Городище ул. Школьная д.18</t>
  </si>
  <si>
    <t>МБОУ Горицкая ООШ</t>
  </si>
  <si>
    <t>243565, Брянская обл., Погарский район д. Горицы ул. Благодатная д.8а</t>
  </si>
  <si>
    <t>Образование основное общее</t>
  </si>
  <si>
    <t>МБОУ Дареевская ООШ</t>
  </si>
  <si>
    <t>243565, Брянская обл., Погарский район с. Дареевск ул. Ленина д.32</t>
  </si>
  <si>
    <t xml:space="preserve">МБОУ Долботовская СОШ           </t>
  </si>
  <si>
    <t>243565, Брянская обл., Погарский район д. Долботово ул. Новая д.19а</t>
  </si>
  <si>
    <t xml:space="preserve">МБОУ Куровская ООШ                </t>
  </si>
  <si>
    <t>243565, Брянская обл., Погарский район с. Курово ул. Первомайская д.25Б</t>
  </si>
  <si>
    <t xml:space="preserve">МБОУ Кистерская СОШ               </t>
  </si>
  <si>
    <t>243565, Брянская обл., Погарский район с. Кистер ул. Центральная д.10</t>
  </si>
  <si>
    <t xml:space="preserve">МБОУ Мадеевская ООШ             </t>
  </si>
  <si>
    <t>243565, Брянская обл., Погарский район д. Мадеевка ул. Полева д.3</t>
  </si>
  <si>
    <t>МБОУ Посудичская ООШ</t>
  </si>
  <si>
    <t>243565, Брянская обл., Погарский район с. Посудичи ул. Советская Д.66</t>
  </si>
  <si>
    <t xml:space="preserve">МБОУ ПСШ № 1                 </t>
  </si>
  <si>
    <t>243565, Брянская обл.,  пгт Погар ул. Гагарина д.27</t>
  </si>
  <si>
    <t xml:space="preserve">МБОУ ПСШ № 2                 </t>
  </si>
  <si>
    <t>243565, Брянская обл., пгт Погар ул. Чехова д.10</t>
  </si>
  <si>
    <t xml:space="preserve">МБОУ Суворовская СОШ           </t>
  </si>
  <si>
    <t>243565, Брянская обл., Погарский район с. Суворово ул. Первомайская д.2а</t>
  </si>
  <si>
    <t xml:space="preserve">МБОУ Стеченская СОШ             </t>
  </si>
  <si>
    <t>243565, Брянская обл., Погарский район с. Стечна ул. Школьная д.31</t>
  </si>
  <si>
    <t>МБОУ Сопычевская СОШ</t>
  </si>
  <si>
    <t>243565, Брянская обл., Погарский район с. Сопычи ул. Садовая д.2</t>
  </si>
  <si>
    <t>МБОУ Чеховская ООШ</t>
  </si>
  <si>
    <t>243565, Брянская обл., Погарский район с. Чеховка ул. Новая д.38</t>
  </si>
  <si>
    <t xml:space="preserve">МБОУ Юдиновская СОШ             </t>
  </si>
  <si>
    <t>243565, Брянская обл., Погарский район с. Юдиново ул. Новая д.8а</t>
  </si>
  <si>
    <t>МБОУ Романовская ООШ</t>
  </si>
  <si>
    <t>243565, Брянская обл., Погарский район д. Романовка ул. Заречная д.35</t>
  </si>
  <si>
    <t>МБДОУ Борщовский детский сад</t>
  </si>
  <si>
    <t>243565, Брянская обл., Погарский район с.Борщево, ул. Яковца д.44</t>
  </si>
  <si>
    <t>Образование дошкольное</t>
  </si>
  <si>
    <t>МБДОУ Витемлянский детский сад</t>
  </si>
  <si>
    <t>243565, Брянская обл., Погарский район с. Витемля ул. Школьная д.7</t>
  </si>
  <si>
    <t>МБДОУ Городищенский детский сад</t>
  </si>
  <si>
    <t>243565, Брянская обл., Погарский район с. Городище ул. Чапаева д.21А</t>
  </si>
  <si>
    <t xml:space="preserve">МБДОУ Гриневский детский сад       </t>
  </si>
  <si>
    <t>243565, Брянская обл., Погарский район с. Гринево ул. Октябрьская д.3А</t>
  </si>
  <si>
    <t>МБДОУ Гетуновский детский сад</t>
  </si>
  <si>
    <t>243565, Брянская обл., Погарский район п. Гетуновка ул.Центральная д.4</t>
  </si>
  <si>
    <t>МБДОУ Стеченский детский сад</t>
  </si>
  <si>
    <t>243565, Брянская обл., Погарский район с. Стечна ул. Озерная д.10</t>
  </si>
  <si>
    <t>МБДОУ Кистерский детский сад</t>
  </si>
  <si>
    <t>243565, Брянская обл., Погарский район с. Кистер ул. Центральная д.9</t>
  </si>
  <si>
    <t>МБДОУ Лукинский детский сад</t>
  </si>
  <si>
    <t>243565, Брянская обл., Погарский район д. Лукин ул. Красная д.25А</t>
  </si>
  <si>
    <t>МБДОУ Чайкинский детский сад</t>
  </si>
  <si>
    <t>243565, Брянская обл., Погарский район п. Чайкинский ул. Светлая д.26</t>
  </si>
  <si>
    <t>МБДОУ Куровский детский сад</t>
  </si>
  <si>
    <t>243565, Брянская обл., Погарский район с. Курово пер. Первомайский д.8</t>
  </si>
  <si>
    <t xml:space="preserve">МБДОУ Юдиновский  детский сад    </t>
  </si>
  <si>
    <t>243565, Брянская обл., Погарский район с. Юдиново ул. Молодежная д.3</t>
  </si>
  <si>
    <t>МБДОУ детский сад комбинированного вида  № 1 пгт Погар</t>
  </si>
  <si>
    <t>243565, Брянская обл., пгт Погар ул. Октябрьская д.31</t>
  </si>
  <si>
    <t>МБДОУ детский сад  № 3 пгт Погар</t>
  </si>
  <si>
    <t>243565, Брянская обл., пгт Погар ул. Жданова д.7</t>
  </si>
  <si>
    <t>МБДОУ детский сад комбинированного вида  № 4 пгт Погар</t>
  </si>
  <si>
    <t>243565, Брянская обл., пгт Погар ул. 2-ой квартал д.13 А</t>
  </si>
  <si>
    <t>МБДОУ детский сад  № 5 пгт Погар</t>
  </si>
  <si>
    <t>243565, Брянская обл.,  пгт Погар ул. 2-ой квартал</t>
  </si>
  <si>
    <t>МБДОУ Вадьковский детский сад</t>
  </si>
  <si>
    <t>243565, Брянская обл., Погарский район д. Вадьковка ул. Пролетарская д.11</t>
  </si>
  <si>
    <t xml:space="preserve"> дошкольная группа при МБОУ Посудичская ООШ</t>
  </si>
  <si>
    <t xml:space="preserve"> дошкольная группа  при МБОУ Романовская ООШ</t>
  </si>
  <si>
    <t xml:space="preserve"> дошкольная группа  при МБОУ Чеховская ООШ</t>
  </si>
  <si>
    <t>243550, Брянская обл., пгт Погар ул. Ленина д.1А</t>
  </si>
  <si>
    <t>Образование дополнительное детей и взрослых</t>
  </si>
  <si>
    <t>243565, Брянская обл., пгт Погар пл. Советская д.2А</t>
  </si>
  <si>
    <t>Деятельность в области спорта прочие</t>
  </si>
  <si>
    <t>243565, Брянская обл.,  пгт Погар</t>
  </si>
  <si>
    <t>96.09</t>
  </si>
  <si>
    <t>Предоставление прочих персональных услуг, не включеных в другие группировки</t>
  </si>
  <si>
    <t>2022 год (план)</t>
  </si>
  <si>
    <t>1214,5 ( ДК) 349,20 ( склад ДК)</t>
  </si>
  <si>
    <t>0,18 (земля  ДК) 0,157 (земля склад ДК)</t>
  </si>
  <si>
    <t>1065,3(школа),9,7(котельная)</t>
  </si>
  <si>
    <t>Муниципальное бюджетное образовательное учреждение дополнительного образования "Погарская детская школа искусств"</t>
  </si>
  <si>
    <t>Муниципальное бюджетное  учреждение дополнительного образования "Погарская ДЮСШ"</t>
  </si>
  <si>
    <t>Муниципальное бюджетное учреждение  дополнительного образования "Погарский ДТ"</t>
  </si>
  <si>
    <t>Муниципальное бюджетное  учреждение  "Центр ППМСП"Погарского района</t>
  </si>
  <si>
    <t>2021  год (факт)</t>
  </si>
  <si>
    <t>2023 год (план)</t>
  </si>
  <si>
    <t>факт на 01.11.2022</t>
  </si>
  <si>
    <t>факт на 01.11.2022,</t>
  </si>
  <si>
    <t>Реестр муниципальных учреждений Погарского района (городского округа) по состоянию 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</si>
</sst>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/>
    <xf numFmtId="164" fontId="6" fillId="4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164" fontId="1" fillId="4" borderId="10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6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W306"/>
  <sheetViews>
    <sheetView tabSelected="1" zoomScale="60" zoomScaleNormal="60" zoomScaleSheetLayoutView="55" workbookViewId="0"/>
  </sheetViews>
  <sheetFormatPr defaultRowHeight="15" x14ac:dyDescent="0.25"/>
  <cols>
    <col min="2" max="2" width="41.42578125" customWidth="1"/>
    <col min="3" max="3" width="22.85546875" style="31" customWidth="1"/>
    <col min="4" max="4" width="34.5703125" customWidth="1"/>
    <col min="5" max="5" width="40.140625" customWidth="1"/>
    <col min="6" max="6" width="13.42578125" customWidth="1"/>
    <col min="7" max="7" width="20.28515625" customWidth="1"/>
    <col min="8" max="10" width="12.7109375" style="7" customWidth="1"/>
    <col min="11" max="12" width="16.28515625" style="7" customWidth="1"/>
    <col min="13" max="17" width="12.7109375" style="7" customWidth="1"/>
    <col min="18" max="19" width="12.7109375" customWidth="1"/>
    <col min="20" max="20" width="9.42578125" customWidth="1"/>
    <col min="21" max="21" width="10" customWidth="1"/>
    <col min="22" max="22" width="9.42578125" customWidth="1"/>
    <col min="23" max="23" width="10.42578125" customWidth="1"/>
    <col min="24" max="24" width="11.28515625" customWidth="1"/>
  </cols>
  <sheetData>
    <row r="1" spans="1:131" x14ac:dyDescent="0.25">
      <c r="A1" s="5" t="s">
        <v>241</v>
      </c>
      <c r="B1" s="1"/>
      <c r="C1" s="30"/>
      <c r="D1" s="1"/>
      <c r="E1" s="1"/>
    </row>
    <row r="2" spans="1:131" x14ac:dyDescent="0.25">
      <c r="A2" s="1"/>
      <c r="B2" s="1"/>
      <c r="C2" s="30"/>
      <c r="D2" s="1"/>
      <c r="E2" s="1"/>
    </row>
    <row r="3" spans="1:131" ht="78" customHeight="1" x14ac:dyDescent="0.25">
      <c r="A3" s="79" t="s">
        <v>0</v>
      </c>
      <c r="B3" s="80" t="s">
        <v>1</v>
      </c>
      <c r="C3" s="28" t="s">
        <v>109</v>
      </c>
      <c r="D3" s="81" t="s">
        <v>9</v>
      </c>
      <c r="E3" s="82" t="s">
        <v>2</v>
      </c>
      <c r="F3" s="82" t="s">
        <v>6</v>
      </c>
      <c r="G3" s="82"/>
      <c r="H3" s="86" t="s">
        <v>3</v>
      </c>
      <c r="I3" s="86" t="s">
        <v>15</v>
      </c>
      <c r="J3" s="83" t="s">
        <v>21</v>
      </c>
      <c r="K3" s="84"/>
      <c r="L3" s="84"/>
      <c r="M3" s="85"/>
      <c r="N3" s="86" t="s">
        <v>22</v>
      </c>
      <c r="O3" s="86"/>
      <c r="P3" s="86"/>
      <c r="Q3" s="86"/>
      <c r="R3" s="83" t="s">
        <v>20</v>
      </c>
      <c r="S3" s="86" t="s">
        <v>19</v>
      </c>
    </row>
    <row r="4" spans="1:131" ht="52.5" customHeight="1" x14ac:dyDescent="0.25">
      <c r="A4" s="79"/>
      <c r="B4" s="80"/>
      <c r="C4" s="29"/>
      <c r="D4" s="81"/>
      <c r="E4" s="82"/>
      <c r="F4" s="4" t="s">
        <v>4</v>
      </c>
      <c r="G4" s="4" t="s">
        <v>5</v>
      </c>
      <c r="H4" s="86"/>
      <c r="I4" s="86"/>
      <c r="J4" s="8" t="s">
        <v>237</v>
      </c>
      <c r="K4" s="8" t="s">
        <v>229</v>
      </c>
      <c r="L4" s="8" t="s">
        <v>239</v>
      </c>
      <c r="M4" s="25" t="s">
        <v>238</v>
      </c>
      <c r="N4" s="8" t="s">
        <v>237</v>
      </c>
      <c r="O4" s="8" t="s">
        <v>229</v>
      </c>
      <c r="P4" s="9" t="s">
        <v>239</v>
      </c>
      <c r="Q4" s="8" t="s">
        <v>238</v>
      </c>
      <c r="R4" s="87"/>
      <c r="S4" s="86"/>
    </row>
    <row r="5" spans="1:131" x14ac:dyDescent="0.25">
      <c r="A5" s="88" t="s">
        <v>13</v>
      </c>
      <c r="B5" s="88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90"/>
    </row>
    <row r="6" spans="1:131" s="2" customFormat="1" ht="94.5" x14ac:dyDescent="0.25">
      <c r="A6" s="33">
        <v>1</v>
      </c>
      <c r="B6" s="40" t="s">
        <v>95</v>
      </c>
      <c r="C6" s="35">
        <v>3223000955</v>
      </c>
      <c r="D6" s="40" t="s">
        <v>95</v>
      </c>
      <c r="E6" s="35" t="s">
        <v>23</v>
      </c>
      <c r="F6" s="33" t="s">
        <v>132</v>
      </c>
      <c r="G6" s="45" t="s">
        <v>30</v>
      </c>
      <c r="H6" s="39">
        <v>58</v>
      </c>
      <c r="I6" s="39">
        <v>59</v>
      </c>
      <c r="J6" s="39">
        <v>169317.6</v>
      </c>
      <c r="K6" s="39">
        <v>140662</v>
      </c>
      <c r="L6" s="39">
        <v>139318</v>
      </c>
      <c r="M6" s="39">
        <v>126584.7</v>
      </c>
      <c r="N6" s="39">
        <v>0</v>
      </c>
      <c r="O6" s="39">
        <v>0</v>
      </c>
      <c r="P6" s="39">
        <v>0</v>
      </c>
      <c r="Q6" s="39">
        <v>0</v>
      </c>
      <c r="R6" s="39">
        <v>3790.6</v>
      </c>
      <c r="S6" s="72">
        <v>0.50409999999999999</v>
      </c>
      <c r="T6" s="11"/>
      <c r="U6" s="12"/>
    </row>
    <row r="7" spans="1:131" s="2" customFormat="1" ht="94.5" x14ac:dyDescent="0.25">
      <c r="A7" s="33">
        <v>2</v>
      </c>
      <c r="B7" s="40" t="s">
        <v>24</v>
      </c>
      <c r="C7" s="35">
        <v>3252501258</v>
      </c>
      <c r="D7" s="35" t="s">
        <v>25</v>
      </c>
      <c r="E7" s="35" t="s">
        <v>23</v>
      </c>
      <c r="F7" s="33" t="s">
        <v>132</v>
      </c>
      <c r="G7" s="45" t="s">
        <v>30</v>
      </c>
      <c r="H7" s="39">
        <v>2</v>
      </c>
      <c r="I7" s="39">
        <v>1</v>
      </c>
      <c r="J7" s="39">
        <v>1385.8</v>
      </c>
      <c r="K7" s="39">
        <v>1406.2</v>
      </c>
      <c r="L7" s="39">
        <v>933.3</v>
      </c>
      <c r="M7" s="39">
        <v>1374.4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12"/>
      <c r="U7" s="12"/>
    </row>
    <row r="8" spans="1:131" s="2" customFormat="1" ht="94.5" x14ac:dyDescent="0.25">
      <c r="A8" s="33">
        <v>3</v>
      </c>
      <c r="B8" s="40" t="s">
        <v>25</v>
      </c>
      <c r="C8" s="35">
        <v>3223004068</v>
      </c>
      <c r="D8" s="35" t="s">
        <v>25</v>
      </c>
      <c r="E8" s="35" t="s">
        <v>23</v>
      </c>
      <c r="F8" s="33" t="s">
        <v>132</v>
      </c>
      <c r="G8" s="45" t="s">
        <v>30</v>
      </c>
      <c r="H8" s="39">
        <v>2</v>
      </c>
      <c r="I8" s="39">
        <v>2</v>
      </c>
      <c r="J8" s="39">
        <v>1635.4</v>
      </c>
      <c r="K8" s="39">
        <v>1667.6</v>
      </c>
      <c r="L8" s="39">
        <v>1288.2</v>
      </c>
      <c r="M8" s="39">
        <v>1538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12"/>
      <c r="U8" s="12"/>
    </row>
    <row r="9" spans="1:131" s="2" customFormat="1" ht="94.5" x14ac:dyDescent="0.25">
      <c r="A9" s="33">
        <v>4</v>
      </c>
      <c r="B9" s="40" t="s">
        <v>26</v>
      </c>
      <c r="C9" s="35">
        <v>3223005343</v>
      </c>
      <c r="D9" s="40" t="s">
        <v>95</v>
      </c>
      <c r="E9" s="35" t="s">
        <v>23</v>
      </c>
      <c r="F9" s="33" t="s">
        <v>131</v>
      </c>
      <c r="G9" s="45" t="s">
        <v>30</v>
      </c>
      <c r="H9" s="39">
        <v>7</v>
      </c>
      <c r="I9" s="39">
        <v>7</v>
      </c>
      <c r="J9" s="39">
        <v>2521.5</v>
      </c>
      <c r="K9" s="39">
        <v>2891.7</v>
      </c>
      <c r="L9" s="39">
        <v>2402.6</v>
      </c>
      <c r="M9" s="39">
        <v>3251.6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12"/>
      <c r="U9" s="12"/>
    </row>
    <row r="10" spans="1:131" s="12" customFormat="1" ht="94.5" x14ac:dyDescent="0.25">
      <c r="A10" s="33">
        <v>5</v>
      </c>
      <c r="B10" s="40" t="s">
        <v>27</v>
      </c>
      <c r="C10" s="35">
        <v>3223001941</v>
      </c>
      <c r="D10" s="40" t="s">
        <v>95</v>
      </c>
      <c r="E10" s="35" t="s">
        <v>23</v>
      </c>
      <c r="F10" s="33" t="s">
        <v>29</v>
      </c>
      <c r="G10" s="45" t="s">
        <v>30</v>
      </c>
      <c r="H10" s="39">
        <v>11</v>
      </c>
      <c r="I10" s="39">
        <v>11</v>
      </c>
      <c r="J10" s="39">
        <v>6161.8</v>
      </c>
      <c r="K10" s="39">
        <v>6021.8</v>
      </c>
      <c r="L10" s="39">
        <v>4659</v>
      </c>
      <c r="M10" s="39">
        <v>6271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</row>
    <row r="11" spans="1:131" s="32" customFormat="1" ht="112.5" customHeight="1" x14ac:dyDescent="0.25">
      <c r="A11" s="42">
        <v>6</v>
      </c>
      <c r="B11" s="40" t="s">
        <v>28</v>
      </c>
      <c r="C11" s="35">
        <v>3223002511</v>
      </c>
      <c r="D11" s="40" t="s">
        <v>95</v>
      </c>
      <c r="E11" s="19" t="s">
        <v>96</v>
      </c>
      <c r="F11" s="42" t="s">
        <v>29</v>
      </c>
      <c r="G11" s="73" t="s">
        <v>30</v>
      </c>
      <c r="H11" s="39">
        <v>2</v>
      </c>
      <c r="I11" s="39">
        <v>2</v>
      </c>
      <c r="J11" s="39">
        <v>1322.2</v>
      </c>
      <c r="K11" s="39">
        <v>1459913</v>
      </c>
      <c r="L11" s="39">
        <v>1145.0999999999999</v>
      </c>
      <c r="M11" s="39">
        <v>1539.3</v>
      </c>
      <c r="N11" s="39">
        <v>0</v>
      </c>
      <c r="O11" s="39">
        <v>0</v>
      </c>
      <c r="P11" s="39">
        <v>0</v>
      </c>
      <c r="Q11" s="39"/>
      <c r="R11" s="39">
        <v>0</v>
      </c>
      <c r="S11" s="39">
        <v>0</v>
      </c>
      <c r="T11" s="12"/>
      <c r="U11" s="10"/>
      <c r="V11" s="10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</row>
    <row r="12" spans="1:131" s="2" customFormat="1" ht="112.5" customHeight="1" x14ac:dyDescent="0.25">
      <c r="A12" s="37">
        <v>7</v>
      </c>
      <c r="B12" s="58" t="s">
        <v>117</v>
      </c>
      <c r="C12" s="34">
        <v>3252001463</v>
      </c>
      <c r="D12" s="34" t="s">
        <v>123</v>
      </c>
      <c r="E12" s="34" t="s">
        <v>79</v>
      </c>
      <c r="F12" s="34" t="s">
        <v>80</v>
      </c>
      <c r="G12" s="34" t="s">
        <v>81</v>
      </c>
      <c r="H12" s="36">
        <v>4.4000000000000004</v>
      </c>
      <c r="I12" s="36">
        <v>3.4</v>
      </c>
      <c r="J12" s="38">
        <v>1685.1</v>
      </c>
      <c r="K12" s="38">
        <v>1698.7</v>
      </c>
      <c r="L12" s="38">
        <v>1202.7860000000001</v>
      </c>
      <c r="M12" s="38">
        <v>1465.6949999999999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</row>
    <row r="13" spans="1:131" s="2" customFormat="1" ht="112.5" customHeight="1" x14ac:dyDescent="0.25">
      <c r="A13" s="37">
        <v>8</v>
      </c>
      <c r="B13" s="58" t="s">
        <v>116</v>
      </c>
      <c r="C13" s="34">
        <v>3252001431</v>
      </c>
      <c r="D13" s="34" t="s">
        <v>124</v>
      </c>
      <c r="E13" s="34" t="s">
        <v>82</v>
      </c>
      <c r="F13" s="34" t="s">
        <v>80</v>
      </c>
      <c r="G13" s="34" t="s">
        <v>81</v>
      </c>
      <c r="H13" s="36">
        <v>5</v>
      </c>
      <c r="I13" s="36">
        <v>5</v>
      </c>
      <c r="J13" s="36">
        <v>1827.2</v>
      </c>
      <c r="K13" s="38">
        <v>1868.7</v>
      </c>
      <c r="L13" s="38">
        <v>1525.925</v>
      </c>
      <c r="M13" s="38">
        <v>1742.096</v>
      </c>
      <c r="N13" s="36">
        <v>0</v>
      </c>
      <c r="O13" s="36">
        <v>0</v>
      </c>
      <c r="P13" s="36">
        <v>0</v>
      </c>
      <c r="Q13" s="36">
        <v>0</v>
      </c>
      <c r="R13" s="36">
        <v>562</v>
      </c>
      <c r="S13" s="36">
        <v>63.6</v>
      </c>
    </row>
    <row r="14" spans="1:131" s="2" customFormat="1" ht="112.5" customHeight="1" x14ac:dyDescent="0.25">
      <c r="A14" s="37">
        <v>9</v>
      </c>
      <c r="B14" s="58" t="s">
        <v>110</v>
      </c>
      <c r="C14" s="34">
        <v>3252001625</v>
      </c>
      <c r="D14" s="34" t="s">
        <v>125</v>
      </c>
      <c r="E14" s="34" t="s">
        <v>83</v>
      </c>
      <c r="F14" s="34" t="s">
        <v>80</v>
      </c>
      <c r="G14" s="34" t="s">
        <v>81</v>
      </c>
      <c r="H14" s="36">
        <v>4</v>
      </c>
      <c r="I14" s="36">
        <v>4</v>
      </c>
      <c r="J14" s="36">
        <v>1731.2</v>
      </c>
      <c r="K14" s="38">
        <v>1753.2</v>
      </c>
      <c r="L14" s="38">
        <v>1410.558</v>
      </c>
      <c r="M14" s="38">
        <v>1462.3109999999999</v>
      </c>
      <c r="N14" s="36">
        <v>0</v>
      </c>
      <c r="O14" s="36">
        <v>0</v>
      </c>
      <c r="P14" s="36">
        <v>0</v>
      </c>
      <c r="Q14" s="36">
        <v>0</v>
      </c>
      <c r="R14" s="36">
        <v>131.69999999999999</v>
      </c>
      <c r="S14" s="59">
        <v>0.04</v>
      </c>
    </row>
    <row r="15" spans="1:131" s="2" customFormat="1" ht="112.5" customHeight="1" x14ac:dyDescent="0.25">
      <c r="A15" s="37">
        <v>10</v>
      </c>
      <c r="B15" s="58" t="s">
        <v>111</v>
      </c>
      <c r="C15" s="34">
        <v>3252001424</v>
      </c>
      <c r="D15" s="34" t="s">
        <v>37</v>
      </c>
      <c r="E15" s="34" t="s">
        <v>84</v>
      </c>
      <c r="F15" s="34" t="s">
        <v>80</v>
      </c>
      <c r="G15" s="34" t="s">
        <v>81</v>
      </c>
      <c r="H15" s="36">
        <v>5</v>
      </c>
      <c r="I15" s="36">
        <v>4</v>
      </c>
      <c r="J15" s="36">
        <v>2082.1</v>
      </c>
      <c r="K15" s="38">
        <v>3136.9</v>
      </c>
      <c r="L15" s="38">
        <v>2862.1860000000001</v>
      </c>
      <c r="M15" s="38">
        <v>1691.2139999999999</v>
      </c>
      <c r="N15" s="36">
        <v>0</v>
      </c>
      <c r="O15" s="36">
        <v>0</v>
      </c>
      <c r="P15" s="36">
        <v>0</v>
      </c>
      <c r="Q15" s="36">
        <v>0</v>
      </c>
      <c r="R15" s="36">
        <v>140.5</v>
      </c>
      <c r="S15" s="59">
        <v>0.05</v>
      </c>
    </row>
    <row r="16" spans="1:131" s="2" customFormat="1" ht="112.5" customHeight="1" x14ac:dyDescent="0.25">
      <c r="A16" s="37">
        <v>11</v>
      </c>
      <c r="B16" s="58" t="s">
        <v>113</v>
      </c>
      <c r="C16" s="34">
        <v>3252001512</v>
      </c>
      <c r="D16" s="34" t="s">
        <v>113</v>
      </c>
      <c r="E16" s="34" t="s">
        <v>85</v>
      </c>
      <c r="F16" s="34" t="s">
        <v>80</v>
      </c>
      <c r="G16" s="34" t="s">
        <v>81</v>
      </c>
      <c r="H16" s="36">
        <v>5</v>
      </c>
      <c r="I16" s="36">
        <v>4</v>
      </c>
      <c r="J16" s="36">
        <v>1759.2</v>
      </c>
      <c r="K16" s="38">
        <v>2070.4</v>
      </c>
      <c r="L16" s="38">
        <v>1402.1289999999999</v>
      </c>
      <c r="M16" s="38">
        <v>1713.2670000000001</v>
      </c>
      <c r="N16" s="36">
        <v>0</v>
      </c>
      <c r="O16" s="36">
        <v>0</v>
      </c>
      <c r="P16" s="36">
        <v>0</v>
      </c>
      <c r="Q16" s="36">
        <v>0</v>
      </c>
      <c r="R16" s="36">
        <v>1849.8</v>
      </c>
      <c r="S16" s="36">
        <v>1.4</v>
      </c>
    </row>
    <row r="17" spans="1:4131" s="2" customFormat="1" ht="112.5" customHeight="1" x14ac:dyDescent="0.25">
      <c r="A17" s="37">
        <v>12</v>
      </c>
      <c r="B17" s="58" t="s">
        <v>114</v>
      </c>
      <c r="C17" s="34">
        <v>3252001449</v>
      </c>
      <c r="D17" s="34" t="s">
        <v>126</v>
      </c>
      <c r="E17" s="34" t="s">
        <v>86</v>
      </c>
      <c r="F17" s="34" t="s">
        <v>80</v>
      </c>
      <c r="G17" s="34" t="s">
        <v>81</v>
      </c>
      <c r="H17" s="36">
        <v>4</v>
      </c>
      <c r="I17" s="36">
        <v>4</v>
      </c>
      <c r="J17" s="36">
        <v>1530.5</v>
      </c>
      <c r="K17" s="38">
        <v>1429.4</v>
      </c>
      <c r="L17" s="38">
        <v>1048.807</v>
      </c>
      <c r="M17" s="38">
        <v>1436.645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</row>
    <row r="18" spans="1:4131" s="2" customFormat="1" ht="112.5" customHeight="1" x14ac:dyDescent="0.25">
      <c r="A18" s="37">
        <v>13</v>
      </c>
      <c r="B18" s="58" t="s">
        <v>133</v>
      </c>
      <c r="C18" s="34">
        <v>3252001583</v>
      </c>
      <c r="D18" s="34" t="s">
        <v>87</v>
      </c>
      <c r="E18" s="34" t="s">
        <v>88</v>
      </c>
      <c r="F18" s="34" t="s">
        <v>80</v>
      </c>
      <c r="G18" s="34" t="s">
        <v>81</v>
      </c>
      <c r="H18" s="36">
        <v>4</v>
      </c>
      <c r="I18" s="36">
        <v>3.4</v>
      </c>
      <c r="J18" s="36">
        <v>1422.9</v>
      </c>
      <c r="K18" s="38">
        <v>1640.8</v>
      </c>
      <c r="L18" s="38">
        <v>1301.79</v>
      </c>
      <c r="M18" s="38">
        <v>1462.211</v>
      </c>
      <c r="N18" s="36">
        <v>0</v>
      </c>
      <c r="O18" s="36">
        <v>0</v>
      </c>
      <c r="P18" s="36">
        <v>0</v>
      </c>
      <c r="Q18" s="36">
        <v>0</v>
      </c>
      <c r="R18" s="36">
        <v>1851</v>
      </c>
      <c r="S18" s="36">
        <v>2</v>
      </c>
    </row>
    <row r="19" spans="1:4131" s="2" customFormat="1" ht="112.5" customHeight="1" x14ac:dyDescent="0.25">
      <c r="A19" s="37">
        <v>14</v>
      </c>
      <c r="B19" s="58" t="s">
        <v>115</v>
      </c>
      <c r="C19" s="34">
        <v>3252001632</v>
      </c>
      <c r="D19" s="34" t="s">
        <v>127</v>
      </c>
      <c r="E19" s="34" t="s">
        <v>89</v>
      </c>
      <c r="F19" s="34" t="s">
        <v>80</v>
      </c>
      <c r="G19" s="34" t="s">
        <v>81</v>
      </c>
      <c r="H19" s="36">
        <v>5</v>
      </c>
      <c r="I19" s="36">
        <v>5</v>
      </c>
      <c r="J19" s="36">
        <v>1828.7</v>
      </c>
      <c r="K19" s="38">
        <v>2664.1</v>
      </c>
      <c r="L19" s="38">
        <v>1779.954</v>
      </c>
      <c r="M19" s="38">
        <v>1748.376</v>
      </c>
      <c r="N19" s="36">
        <v>0</v>
      </c>
      <c r="O19" s="36">
        <v>0</v>
      </c>
      <c r="P19" s="36">
        <v>0</v>
      </c>
      <c r="Q19" s="36">
        <v>0</v>
      </c>
      <c r="R19" s="36">
        <v>1736</v>
      </c>
      <c r="S19" s="36">
        <v>1</v>
      </c>
    </row>
    <row r="20" spans="1:4131" s="2" customFormat="1" ht="112.5" customHeight="1" x14ac:dyDescent="0.25">
      <c r="A20" s="37">
        <v>15</v>
      </c>
      <c r="B20" s="58" t="s">
        <v>118</v>
      </c>
      <c r="C20" s="34">
        <v>3252001488</v>
      </c>
      <c r="D20" s="34" t="s">
        <v>128</v>
      </c>
      <c r="E20" s="34" t="s">
        <v>90</v>
      </c>
      <c r="F20" s="34" t="s">
        <v>80</v>
      </c>
      <c r="G20" s="34" t="s">
        <v>81</v>
      </c>
      <c r="H20" s="36">
        <v>5</v>
      </c>
      <c r="I20" s="36">
        <v>5</v>
      </c>
      <c r="J20" s="36">
        <v>2485.9</v>
      </c>
      <c r="K20" s="38">
        <v>1985.8</v>
      </c>
      <c r="L20" s="38">
        <v>1459.268</v>
      </c>
      <c r="M20" s="38">
        <v>1717.193</v>
      </c>
      <c r="N20" s="36">
        <v>0</v>
      </c>
      <c r="O20" s="36">
        <v>0</v>
      </c>
      <c r="P20" s="36">
        <v>0</v>
      </c>
      <c r="Q20" s="36">
        <v>0</v>
      </c>
      <c r="R20" s="36">
        <v>65</v>
      </c>
      <c r="S20" s="36">
        <v>0.1</v>
      </c>
    </row>
    <row r="21" spans="1:4131" s="2" customFormat="1" ht="112.5" customHeight="1" x14ac:dyDescent="0.25">
      <c r="A21" s="37">
        <v>16</v>
      </c>
      <c r="B21" s="58" t="s">
        <v>119</v>
      </c>
      <c r="C21" s="34">
        <v>3252001470</v>
      </c>
      <c r="D21" s="34" t="s">
        <v>129</v>
      </c>
      <c r="E21" s="34" t="s">
        <v>91</v>
      </c>
      <c r="F21" s="34" t="s">
        <v>80</v>
      </c>
      <c r="G21" s="34" t="s">
        <v>81</v>
      </c>
      <c r="H21" s="36">
        <v>4.9000000000000004</v>
      </c>
      <c r="I21" s="36">
        <v>4.9000000000000004</v>
      </c>
      <c r="J21" s="36">
        <v>2537.1</v>
      </c>
      <c r="K21" s="38">
        <v>2069</v>
      </c>
      <c r="L21" s="38">
        <v>1483.2159999999999</v>
      </c>
      <c r="M21" s="38">
        <v>1686.6869999999999</v>
      </c>
      <c r="N21" s="36">
        <v>0</v>
      </c>
      <c r="O21" s="36">
        <v>0</v>
      </c>
      <c r="P21" s="36">
        <v>0</v>
      </c>
      <c r="Q21" s="36">
        <v>0</v>
      </c>
      <c r="R21" s="36">
        <v>196.2</v>
      </c>
      <c r="S21" s="36">
        <v>0.1</v>
      </c>
    </row>
    <row r="22" spans="1:4131" s="2" customFormat="1" ht="112.5" customHeight="1" x14ac:dyDescent="0.25">
      <c r="A22" s="37">
        <v>17</v>
      </c>
      <c r="B22" s="58" t="s">
        <v>120</v>
      </c>
      <c r="C22" s="34">
        <v>3252001618</v>
      </c>
      <c r="D22" s="34" t="s">
        <v>92</v>
      </c>
      <c r="E22" s="34" t="s">
        <v>122</v>
      </c>
      <c r="F22" s="34" t="s">
        <v>80</v>
      </c>
      <c r="G22" s="34" t="s">
        <v>81</v>
      </c>
      <c r="H22" s="36">
        <v>4</v>
      </c>
      <c r="I22" s="36">
        <v>4</v>
      </c>
      <c r="J22" s="36">
        <v>1621.5</v>
      </c>
      <c r="K22" s="38">
        <v>1613.1</v>
      </c>
      <c r="L22" s="38">
        <v>1167.5450000000001</v>
      </c>
      <c r="M22" s="38">
        <v>1344.559</v>
      </c>
      <c r="N22" s="36">
        <v>0</v>
      </c>
      <c r="O22" s="36">
        <v>0</v>
      </c>
      <c r="P22" s="36">
        <v>0</v>
      </c>
      <c r="Q22" s="36">
        <v>0</v>
      </c>
      <c r="R22" s="36">
        <v>1788</v>
      </c>
      <c r="S22" s="36">
        <v>6</v>
      </c>
    </row>
    <row r="23" spans="1:4131" s="2" customFormat="1" ht="112.5" customHeight="1" x14ac:dyDescent="0.25">
      <c r="A23" s="37">
        <v>18</v>
      </c>
      <c r="B23" s="58" t="s">
        <v>121</v>
      </c>
      <c r="C23" s="34">
        <v>3252001456</v>
      </c>
      <c r="D23" s="34" t="s">
        <v>130</v>
      </c>
      <c r="E23" s="34" t="s">
        <v>93</v>
      </c>
      <c r="F23" s="34" t="s">
        <v>80</v>
      </c>
      <c r="G23" s="34" t="s">
        <v>81</v>
      </c>
      <c r="H23" s="36">
        <v>4.9000000000000004</v>
      </c>
      <c r="I23" s="36">
        <v>4.9000000000000004</v>
      </c>
      <c r="J23" s="36">
        <v>1579.9</v>
      </c>
      <c r="K23" s="38">
        <v>1653.3</v>
      </c>
      <c r="L23" s="38">
        <v>1252.732</v>
      </c>
      <c r="M23" s="38">
        <v>1594.258</v>
      </c>
      <c r="N23" s="36">
        <v>0</v>
      </c>
      <c r="O23" s="36">
        <v>0</v>
      </c>
      <c r="P23" s="36">
        <v>0</v>
      </c>
      <c r="Q23" s="36">
        <v>0</v>
      </c>
      <c r="R23" s="36">
        <v>4642.5</v>
      </c>
      <c r="S23" s="59">
        <v>1.46</v>
      </c>
    </row>
    <row r="24" spans="1:4131" x14ac:dyDescent="0.25">
      <c r="A24" s="77" t="s">
        <v>10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2"/>
    </row>
    <row r="25" spans="1:4131" s="2" customFormat="1" ht="96" customHeight="1" x14ac:dyDescent="0.25">
      <c r="A25" s="33">
        <v>1</v>
      </c>
      <c r="B25" s="40" t="s">
        <v>31</v>
      </c>
      <c r="C25" s="35">
        <v>3252004489</v>
      </c>
      <c r="D25" s="40" t="s">
        <v>95</v>
      </c>
      <c r="E25" s="35" t="s">
        <v>23</v>
      </c>
      <c r="F25" s="35" t="s">
        <v>105</v>
      </c>
      <c r="G25" s="35" t="s">
        <v>106</v>
      </c>
      <c r="H25" s="38">
        <v>9</v>
      </c>
      <c r="I25" s="10">
        <v>9</v>
      </c>
      <c r="J25" s="39">
        <v>3103.1</v>
      </c>
      <c r="K25" s="17">
        <v>3291.3</v>
      </c>
      <c r="L25" s="39">
        <v>3171.9</v>
      </c>
      <c r="M25" s="17">
        <v>2455.8000000000002</v>
      </c>
      <c r="N25" s="38">
        <v>0</v>
      </c>
      <c r="O25" s="10">
        <v>0</v>
      </c>
      <c r="P25" s="38">
        <v>0</v>
      </c>
      <c r="Q25" s="10">
        <v>0</v>
      </c>
      <c r="R25" s="38">
        <v>0</v>
      </c>
      <c r="S25" s="65">
        <v>0</v>
      </c>
      <c r="T25" s="11"/>
      <c r="U25" s="12"/>
      <c r="V25" s="12"/>
      <c r="W25" s="12"/>
      <c r="X25" s="12"/>
    </row>
    <row r="26" spans="1:4131" s="2" customFormat="1" ht="75" hidden="1" customHeight="1" x14ac:dyDescent="0.25">
      <c r="A26" s="33">
        <v>2</v>
      </c>
      <c r="B26" s="19"/>
      <c r="C26" s="19"/>
      <c r="D26" s="40" t="s">
        <v>95</v>
      </c>
      <c r="E26" s="19"/>
      <c r="F26" s="42"/>
      <c r="G26" s="19"/>
      <c r="H26" s="38"/>
      <c r="I26" s="38"/>
      <c r="J26" s="39"/>
      <c r="K26" s="39"/>
      <c r="L26" s="39"/>
      <c r="M26" s="39"/>
      <c r="N26" s="38"/>
      <c r="O26" s="38"/>
      <c r="P26" s="38"/>
      <c r="Q26" s="38"/>
      <c r="R26" s="38"/>
      <c r="S26" s="38"/>
      <c r="T26" s="12"/>
      <c r="U26" s="12"/>
      <c r="V26" s="12"/>
      <c r="W26" s="12"/>
      <c r="X26" s="12"/>
    </row>
    <row r="27" spans="1:4131" s="2" customFormat="1" ht="75" hidden="1" customHeight="1" x14ac:dyDescent="0.25">
      <c r="A27" s="33">
        <v>3</v>
      </c>
      <c r="B27" s="19"/>
      <c r="C27" s="19"/>
      <c r="D27" s="40" t="s">
        <v>95</v>
      </c>
      <c r="E27" s="19"/>
      <c r="F27" s="42"/>
      <c r="G27" s="42"/>
      <c r="H27" s="38"/>
      <c r="I27" s="38"/>
      <c r="J27" s="39"/>
      <c r="K27" s="39"/>
      <c r="L27" s="39"/>
      <c r="M27" s="39"/>
      <c r="N27" s="38"/>
      <c r="O27" s="38"/>
      <c r="P27" s="38"/>
      <c r="Q27" s="38"/>
      <c r="R27" s="38"/>
      <c r="S27" s="38"/>
      <c r="T27" s="12"/>
      <c r="U27" s="12"/>
      <c r="V27" s="12"/>
      <c r="W27" s="12"/>
      <c r="X27" s="12"/>
    </row>
    <row r="28" spans="1:4131" s="2" customFormat="1" ht="75" hidden="1" customHeight="1" x14ac:dyDescent="0.25">
      <c r="A28" s="42" t="s">
        <v>7</v>
      </c>
      <c r="B28" s="19"/>
      <c r="C28" s="19"/>
      <c r="D28" s="40" t="s">
        <v>95</v>
      </c>
      <c r="E28" s="19"/>
      <c r="F28" s="42"/>
      <c r="G28" s="42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12"/>
      <c r="U28" s="12"/>
      <c r="V28" s="12"/>
      <c r="W28" s="12"/>
      <c r="X28" s="12"/>
    </row>
    <row r="29" spans="1:4131" s="32" customFormat="1" ht="141.75" customHeight="1" x14ac:dyDescent="0.25">
      <c r="A29" s="33">
        <v>2</v>
      </c>
      <c r="B29" s="40" t="s">
        <v>97</v>
      </c>
      <c r="C29" s="35">
        <v>3252009688</v>
      </c>
      <c r="D29" s="40" t="s">
        <v>95</v>
      </c>
      <c r="E29" s="35" t="s">
        <v>96</v>
      </c>
      <c r="F29" s="35" t="s">
        <v>98</v>
      </c>
      <c r="G29" s="35" t="s">
        <v>99</v>
      </c>
      <c r="H29" s="38">
        <v>107.35</v>
      </c>
      <c r="I29" s="38">
        <v>109</v>
      </c>
      <c r="J29" s="60">
        <v>21447.78</v>
      </c>
      <c r="K29" s="38">
        <v>22771.200000000001</v>
      </c>
      <c r="L29" s="38">
        <v>17345.099999999999</v>
      </c>
      <c r="M29" s="38">
        <v>28727.8</v>
      </c>
      <c r="N29" s="38">
        <v>0</v>
      </c>
      <c r="O29" s="38"/>
      <c r="P29" s="38">
        <v>0</v>
      </c>
      <c r="Q29" s="39"/>
      <c r="R29" s="39">
        <v>0</v>
      </c>
      <c r="S29" s="39">
        <v>0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12"/>
      <c r="CEB29" s="12"/>
      <c r="CEC29" s="12"/>
      <c r="CED29" s="12"/>
      <c r="CEE29" s="12"/>
      <c r="CEF29" s="12"/>
      <c r="CEG29" s="12"/>
      <c r="CEH29" s="12"/>
      <c r="CEI29" s="12"/>
      <c r="CEJ29" s="12"/>
      <c r="CEK29" s="12"/>
      <c r="CEL29" s="12"/>
      <c r="CEM29" s="12"/>
      <c r="CEN29" s="12"/>
      <c r="CEO29" s="12"/>
      <c r="CEP29" s="12"/>
      <c r="CEQ29" s="12"/>
      <c r="CER29" s="12"/>
      <c r="CES29" s="12"/>
      <c r="CET29" s="12"/>
      <c r="CEU29" s="12"/>
      <c r="CEV29" s="12"/>
      <c r="CEW29" s="12"/>
      <c r="CEX29" s="12"/>
      <c r="CEY29" s="12"/>
      <c r="CEZ29" s="12"/>
      <c r="CFA29" s="12"/>
      <c r="CFB29" s="12"/>
      <c r="CFC29" s="12"/>
      <c r="CFD29" s="12"/>
      <c r="CFE29" s="12"/>
      <c r="CFF29" s="12"/>
      <c r="CFG29" s="12"/>
      <c r="CFH29" s="12"/>
      <c r="CFI29" s="12"/>
      <c r="CFJ29" s="12"/>
      <c r="CFK29" s="12"/>
      <c r="CFL29" s="12"/>
      <c r="CFM29" s="12"/>
      <c r="CFN29" s="12"/>
      <c r="CFO29" s="12"/>
      <c r="CFP29" s="12"/>
      <c r="CFQ29" s="12"/>
      <c r="CFR29" s="12"/>
      <c r="CFS29" s="12"/>
      <c r="CFT29" s="12"/>
      <c r="CFU29" s="12"/>
      <c r="CFV29" s="12"/>
      <c r="CFW29" s="12"/>
      <c r="CFX29" s="12"/>
      <c r="CFY29" s="12"/>
      <c r="CFZ29" s="12"/>
      <c r="CGA29" s="12"/>
      <c r="CGB29" s="12"/>
      <c r="CGC29" s="12"/>
      <c r="CGD29" s="12"/>
      <c r="CGE29" s="12"/>
      <c r="CGF29" s="12"/>
      <c r="CGG29" s="12"/>
      <c r="CGH29" s="12"/>
      <c r="CGI29" s="12"/>
      <c r="CGJ29" s="12"/>
      <c r="CGK29" s="12"/>
      <c r="CGL29" s="12"/>
      <c r="CGM29" s="12"/>
      <c r="CGN29" s="12"/>
      <c r="CGO29" s="12"/>
      <c r="CGP29" s="12"/>
      <c r="CGQ29" s="12"/>
      <c r="CGR29" s="12"/>
      <c r="CGS29" s="12"/>
      <c r="CGT29" s="12"/>
      <c r="CGU29" s="12"/>
      <c r="CGV29" s="12"/>
      <c r="CGW29" s="12"/>
      <c r="CGX29" s="12"/>
      <c r="CGY29" s="12"/>
      <c r="CGZ29" s="12"/>
      <c r="CHA29" s="12"/>
      <c r="CHB29" s="12"/>
      <c r="CHC29" s="12"/>
      <c r="CHD29" s="12"/>
      <c r="CHE29" s="12"/>
      <c r="CHF29" s="12"/>
      <c r="CHG29" s="12"/>
      <c r="CHH29" s="12"/>
      <c r="CHI29" s="12"/>
      <c r="CHJ29" s="12"/>
      <c r="CHK29" s="12"/>
      <c r="CHL29" s="12"/>
      <c r="CHM29" s="12"/>
      <c r="CHN29" s="12"/>
      <c r="CHO29" s="12"/>
      <c r="CHP29" s="12"/>
      <c r="CHQ29" s="12"/>
      <c r="CHR29" s="12"/>
      <c r="CHS29" s="12"/>
      <c r="CHT29" s="12"/>
      <c r="CHU29" s="12"/>
      <c r="CHV29" s="12"/>
      <c r="CHW29" s="12"/>
      <c r="CHX29" s="12"/>
      <c r="CHY29" s="12"/>
      <c r="CHZ29" s="12"/>
      <c r="CIA29" s="12"/>
      <c r="CIB29" s="12"/>
      <c r="CIC29" s="12"/>
      <c r="CID29" s="12"/>
      <c r="CIE29" s="12"/>
      <c r="CIF29" s="12"/>
      <c r="CIG29" s="12"/>
      <c r="CIH29" s="12"/>
      <c r="CII29" s="12"/>
      <c r="CIJ29" s="12"/>
      <c r="CIK29" s="12"/>
      <c r="CIL29" s="12"/>
      <c r="CIM29" s="12"/>
      <c r="CIN29" s="12"/>
      <c r="CIO29" s="12"/>
      <c r="CIP29" s="12"/>
      <c r="CIQ29" s="12"/>
      <c r="CIR29" s="12"/>
      <c r="CIS29" s="12"/>
      <c r="CIT29" s="12"/>
      <c r="CIU29" s="12"/>
      <c r="CIV29" s="12"/>
      <c r="CIW29" s="12"/>
      <c r="CIX29" s="12"/>
      <c r="CIY29" s="12"/>
      <c r="CIZ29" s="12"/>
      <c r="CJA29" s="12"/>
      <c r="CJB29" s="12"/>
      <c r="CJC29" s="12"/>
      <c r="CJD29" s="12"/>
      <c r="CJE29" s="12"/>
      <c r="CJF29" s="12"/>
      <c r="CJG29" s="12"/>
      <c r="CJH29" s="12"/>
      <c r="CJI29" s="12"/>
      <c r="CJJ29" s="12"/>
      <c r="CJK29" s="12"/>
      <c r="CJL29" s="12"/>
      <c r="CJM29" s="12"/>
      <c r="CJN29" s="12"/>
      <c r="CJO29" s="12"/>
      <c r="CJP29" s="12"/>
      <c r="CJQ29" s="12"/>
      <c r="CJR29" s="12"/>
      <c r="CJS29" s="12"/>
      <c r="CJT29" s="12"/>
      <c r="CJU29" s="12"/>
      <c r="CJV29" s="12"/>
      <c r="CJW29" s="12"/>
      <c r="CJX29" s="12"/>
      <c r="CJY29" s="12"/>
      <c r="CJZ29" s="12"/>
      <c r="CKA29" s="12"/>
      <c r="CKB29" s="12"/>
      <c r="CKC29" s="12"/>
      <c r="CKD29" s="12"/>
      <c r="CKE29" s="12"/>
      <c r="CKF29" s="12"/>
      <c r="CKG29" s="12"/>
      <c r="CKH29" s="12"/>
      <c r="CKI29" s="12"/>
      <c r="CKJ29" s="12"/>
      <c r="CKK29" s="12"/>
      <c r="CKL29" s="12"/>
      <c r="CKM29" s="12"/>
      <c r="CKN29" s="12"/>
      <c r="CKO29" s="12"/>
      <c r="CKP29" s="12"/>
      <c r="CKQ29" s="12"/>
      <c r="CKR29" s="12"/>
      <c r="CKS29" s="12"/>
      <c r="CKT29" s="12"/>
      <c r="CKU29" s="12"/>
      <c r="CKV29" s="12"/>
      <c r="CKW29" s="12"/>
      <c r="CKX29" s="12"/>
      <c r="CKY29" s="12"/>
      <c r="CKZ29" s="12"/>
      <c r="CLA29" s="12"/>
      <c r="CLB29" s="12"/>
      <c r="CLC29" s="12"/>
      <c r="CLD29" s="12"/>
      <c r="CLE29" s="12"/>
      <c r="CLF29" s="12"/>
      <c r="CLG29" s="12"/>
      <c r="CLH29" s="12"/>
      <c r="CLI29" s="12"/>
      <c r="CLJ29" s="12"/>
      <c r="CLK29" s="12"/>
      <c r="CLL29" s="12"/>
      <c r="CLM29" s="12"/>
      <c r="CLN29" s="12"/>
      <c r="CLO29" s="12"/>
      <c r="CLP29" s="12"/>
      <c r="CLQ29" s="12"/>
      <c r="CLR29" s="12"/>
      <c r="CLS29" s="12"/>
      <c r="CLT29" s="12"/>
      <c r="CLU29" s="12"/>
      <c r="CLV29" s="12"/>
      <c r="CLW29" s="12"/>
      <c r="CLX29" s="12"/>
      <c r="CLY29" s="12"/>
      <c r="CLZ29" s="12"/>
      <c r="CMA29" s="12"/>
      <c r="CMB29" s="12"/>
      <c r="CMC29" s="12"/>
      <c r="CMD29" s="12"/>
      <c r="CME29" s="12"/>
      <c r="CMF29" s="12"/>
      <c r="CMG29" s="12"/>
      <c r="CMH29" s="12"/>
      <c r="CMI29" s="12"/>
      <c r="CMJ29" s="12"/>
      <c r="CMK29" s="12"/>
      <c r="CML29" s="12"/>
      <c r="CMM29" s="12"/>
      <c r="CMN29" s="12"/>
      <c r="CMO29" s="12"/>
      <c r="CMP29" s="12"/>
      <c r="CMQ29" s="12"/>
      <c r="CMR29" s="12"/>
      <c r="CMS29" s="12"/>
      <c r="CMT29" s="12"/>
      <c r="CMU29" s="12"/>
      <c r="CMV29" s="12"/>
      <c r="CMW29" s="12"/>
      <c r="CMX29" s="12"/>
      <c r="CMY29" s="12"/>
      <c r="CMZ29" s="12"/>
      <c r="CNA29" s="12"/>
      <c r="CNB29" s="12"/>
      <c r="CNC29" s="12"/>
      <c r="CND29" s="12"/>
      <c r="CNE29" s="12"/>
      <c r="CNF29" s="12"/>
      <c r="CNG29" s="12"/>
      <c r="CNH29" s="12"/>
      <c r="CNI29" s="12"/>
      <c r="CNJ29" s="12"/>
      <c r="CNK29" s="12"/>
      <c r="CNL29" s="12"/>
      <c r="CNM29" s="12"/>
      <c r="CNN29" s="12"/>
      <c r="CNO29" s="12"/>
      <c r="CNP29" s="12"/>
      <c r="CNQ29" s="12"/>
      <c r="CNR29" s="12"/>
      <c r="CNS29" s="12"/>
      <c r="CNT29" s="12"/>
      <c r="CNU29" s="12"/>
      <c r="CNV29" s="12"/>
      <c r="CNW29" s="12"/>
      <c r="CNX29" s="12"/>
      <c r="CNY29" s="12"/>
      <c r="CNZ29" s="12"/>
      <c r="COA29" s="12"/>
      <c r="COB29" s="12"/>
      <c r="COC29" s="12"/>
      <c r="COD29" s="12"/>
      <c r="COE29" s="12"/>
      <c r="COF29" s="12"/>
      <c r="COG29" s="12"/>
      <c r="COH29" s="12"/>
      <c r="COI29" s="12"/>
      <c r="COJ29" s="12"/>
      <c r="COK29" s="12"/>
      <c r="COL29" s="12"/>
      <c r="COM29" s="12"/>
      <c r="CON29" s="12"/>
      <c r="COO29" s="12"/>
      <c r="COP29" s="12"/>
      <c r="COQ29" s="12"/>
      <c r="COR29" s="12"/>
      <c r="COS29" s="12"/>
      <c r="COT29" s="12"/>
      <c r="COU29" s="12"/>
      <c r="COV29" s="12"/>
      <c r="COW29" s="12"/>
      <c r="COX29" s="12"/>
      <c r="COY29" s="12"/>
      <c r="COZ29" s="12"/>
      <c r="CPA29" s="12"/>
      <c r="CPB29" s="12"/>
      <c r="CPC29" s="12"/>
      <c r="CPD29" s="12"/>
      <c r="CPE29" s="12"/>
      <c r="CPF29" s="12"/>
      <c r="CPG29" s="12"/>
      <c r="CPH29" s="12"/>
      <c r="CPI29" s="12"/>
      <c r="CPJ29" s="12"/>
      <c r="CPK29" s="12"/>
      <c r="CPL29" s="12"/>
      <c r="CPM29" s="12"/>
      <c r="CPN29" s="12"/>
      <c r="CPO29" s="12"/>
      <c r="CPP29" s="12"/>
      <c r="CPQ29" s="12"/>
      <c r="CPR29" s="12"/>
      <c r="CPS29" s="12"/>
      <c r="CPT29" s="12"/>
      <c r="CPU29" s="12"/>
      <c r="CPV29" s="12"/>
      <c r="CPW29" s="12"/>
      <c r="CPX29" s="12"/>
      <c r="CPY29" s="12"/>
      <c r="CPZ29" s="12"/>
      <c r="CQA29" s="12"/>
      <c r="CQB29" s="12"/>
      <c r="CQC29" s="12"/>
      <c r="CQD29" s="12"/>
      <c r="CQE29" s="12"/>
      <c r="CQF29" s="12"/>
      <c r="CQG29" s="12"/>
      <c r="CQH29" s="12"/>
      <c r="CQI29" s="12"/>
      <c r="CQJ29" s="12"/>
      <c r="CQK29" s="12"/>
      <c r="CQL29" s="12"/>
      <c r="CQM29" s="12"/>
      <c r="CQN29" s="12"/>
      <c r="CQO29" s="12"/>
      <c r="CQP29" s="12"/>
      <c r="CQQ29" s="12"/>
      <c r="CQR29" s="12"/>
      <c r="CQS29" s="12"/>
      <c r="CQT29" s="12"/>
      <c r="CQU29" s="12"/>
      <c r="CQV29" s="12"/>
      <c r="CQW29" s="12"/>
      <c r="CQX29" s="12"/>
      <c r="CQY29" s="12"/>
      <c r="CQZ29" s="12"/>
      <c r="CRA29" s="12"/>
      <c r="CRB29" s="12"/>
      <c r="CRC29" s="12"/>
      <c r="CRD29" s="12"/>
      <c r="CRE29" s="12"/>
      <c r="CRF29" s="12"/>
      <c r="CRG29" s="12"/>
      <c r="CRH29" s="12"/>
      <c r="CRI29" s="12"/>
      <c r="CRJ29" s="12"/>
      <c r="CRK29" s="12"/>
      <c r="CRL29" s="12"/>
      <c r="CRM29" s="12"/>
      <c r="CRN29" s="12"/>
      <c r="CRO29" s="12"/>
      <c r="CRP29" s="12"/>
      <c r="CRQ29" s="12"/>
      <c r="CRR29" s="12"/>
      <c r="CRS29" s="12"/>
      <c r="CRT29" s="12"/>
      <c r="CRU29" s="12"/>
      <c r="CRV29" s="12"/>
      <c r="CRW29" s="12"/>
      <c r="CRX29" s="12"/>
      <c r="CRY29" s="12"/>
      <c r="CRZ29" s="12"/>
      <c r="CSA29" s="12"/>
      <c r="CSB29" s="12"/>
      <c r="CSC29" s="12"/>
      <c r="CSD29" s="12"/>
      <c r="CSE29" s="12"/>
      <c r="CSF29" s="12"/>
      <c r="CSG29" s="12"/>
      <c r="CSH29" s="12"/>
      <c r="CSI29" s="12"/>
      <c r="CSJ29" s="12"/>
      <c r="CSK29" s="12"/>
      <c r="CSL29" s="12"/>
      <c r="CSM29" s="12"/>
      <c r="CSN29" s="12"/>
      <c r="CSO29" s="12"/>
      <c r="CSP29" s="12"/>
      <c r="CSQ29" s="12"/>
      <c r="CSR29" s="12"/>
      <c r="CSS29" s="12"/>
      <c r="CST29" s="12"/>
      <c r="CSU29" s="12"/>
      <c r="CSV29" s="12"/>
      <c r="CSW29" s="12"/>
      <c r="CSX29" s="12"/>
      <c r="CSY29" s="12"/>
      <c r="CSZ29" s="12"/>
      <c r="CTA29" s="12"/>
      <c r="CTB29" s="12"/>
      <c r="CTC29" s="12"/>
      <c r="CTD29" s="12"/>
      <c r="CTE29" s="12"/>
      <c r="CTF29" s="12"/>
      <c r="CTG29" s="12"/>
      <c r="CTH29" s="12"/>
      <c r="CTI29" s="12"/>
      <c r="CTJ29" s="12"/>
      <c r="CTK29" s="12"/>
      <c r="CTL29" s="12"/>
      <c r="CTM29" s="12"/>
      <c r="CTN29" s="12"/>
      <c r="CTO29" s="12"/>
      <c r="CTP29" s="12"/>
      <c r="CTQ29" s="12"/>
      <c r="CTR29" s="12"/>
      <c r="CTS29" s="12"/>
      <c r="CTT29" s="12"/>
      <c r="CTU29" s="12"/>
      <c r="CTV29" s="12"/>
      <c r="CTW29" s="12"/>
      <c r="CTX29" s="12"/>
      <c r="CTY29" s="12"/>
      <c r="CTZ29" s="12"/>
      <c r="CUA29" s="12"/>
      <c r="CUB29" s="12"/>
      <c r="CUC29" s="12"/>
      <c r="CUD29" s="12"/>
      <c r="CUE29" s="12"/>
      <c r="CUF29" s="12"/>
      <c r="CUG29" s="12"/>
      <c r="CUH29" s="12"/>
      <c r="CUI29" s="12"/>
      <c r="CUJ29" s="12"/>
      <c r="CUK29" s="12"/>
      <c r="CUL29" s="12"/>
      <c r="CUM29" s="12"/>
      <c r="CUN29" s="12"/>
      <c r="CUO29" s="12"/>
      <c r="CUP29" s="12"/>
      <c r="CUQ29" s="12"/>
      <c r="CUR29" s="12"/>
      <c r="CUS29" s="12"/>
      <c r="CUT29" s="12"/>
      <c r="CUU29" s="12"/>
      <c r="CUV29" s="12"/>
      <c r="CUW29" s="12"/>
      <c r="CUX29" s="12"/>
      <c r="CUY29" s="12"/>
      <c r="CUZ29" s="12"/>
      <c r="CVA29" s="12"/>
      <c r="CVB29" s="12"/>
      <c r="CVC29" s="12"/>
      <c r="CVD29" s="12"/>
      <c r="CVE29" s="12"/>
      <c r="CVF29" s="12"/>
      <c r="CVG29" s="12"/>
      <c r="CVH29" s="12"/>
      <c r="CVI29" s="12"/>
      <c r="CVJ29" s="12"/>
      <c r="CVK29" s="12"/>
      <c r="CVL29" s="12"/>
      <c r="CVM29" s="12"/>
      <c r="CVN29" s="12"/>
      <c r="CVO29" s="12"/>
      <c r="CVP29" s="12"/>
      <c r="CVQ29" s="12"/>
      <c r="CVR29" s="12"/>
      <c r="CVS29" s="12"/>
      <c r="CVT29" s="12"/>
      <c r="CVU29" s="12"/>
      <c r="CVV29" s="12"/>
      <c r="CVW29" s="12"/>
      <c r="CVX29" s="12"/>
      <c r="CVY29" s="12"/>
      <c r="CVZ29" s="12"/>
      <c r="CWA29" s="12"/>
      <c r="CWB29" s="12"/>
      <c r="CWC29" s="12"/>
      <c r="CWD29" s="12"/>
      <c r="CWE29" s="12"/>
      <c r="CWF29" s="12"/>
      <c r="CWG29" s="12"/>
      <c r="CWH29" s="12"/>
      <c r="CWI29" s="12"/>
      <c r="CWJ29" s="12"/>
      <c r="CWK29" s="12"/>
      <c r="CWL29" s="12"/>
      <c r="CWM29" s="12"/>
      <c r="CWN29" s="12"/>
      <c r="CWO29" s="12"/>
      <c r="CWP29" s="12"/>
      <c r="CWQ29" s="12"/>
      <c r="CWR29" s="12"/>
      <c r="CWS29" s="12"/>
      <c r="CWT29" s="12"/>
      <c r="CWU29" s="12"/>
      <c r="CWV29" s="12"/>
      <c r="CWW29" s="12"/>
      <c r="CWX29" s="12"/>
      <c r="CWY29" s="12"/>
      <c r="CWZ29" s="12"/>
      <c r="CXA29" s="12"/>
      <c r="CXB29" s="12"/>
      <c r="CXC29" s="12"/>
      <c r="CXD29" s="12"/>
      <c r="CXE29" s="12"/>
      <c r="CXF29" s="12"/>
      <c r="CXG29" s="12"/>
      <c r="CXH29" s="12"/>
      <c r="CXI29" s="12"/>
      <c r="CXJ29" s="12"/>
      <c r="CXK29" s="12"/>
      <c r="CXL29" s="12"/>
      <c r="CXM29" s="12"/>
      <c r="CXN29" s="12"/>
      <c r="CXO29" s="12"/>
      <c r="CXP29" s="12"/>
      <c r="CXQ29" s="12"/>
      <c r="CXR29" s="12"/>
      <c r="CXS29" s="12"/>
      <c r="CXT29" s="12"/>
      <c r="CXU29" s="12"/>
      <c r="CXV29" s="12"/>
      <c r="CXW29" s="12"/>
      <c r="CXX29" s="12"/>
      <c r="CXY29" s="12"/>
      <c r="CXZ29" s="12"/>
      <c r="CYA29" s="12"/>
      <c r="CYB29" s="12"/>
      <c r="CYC29" s="12"/>
      <c r="CYD29" s="12"/>
      <c r="CYE29" s="12"/>
      <c r="CYF29" s="12"/>
      <c r="CYG29" s="12"/>
      <c r="CYH29" s="12"/>
      <c r="CYI29" s="12"/>
      <c r="CYJ29" s="12"/>
      <c r="CYK29" s="12"/>
      <c r="CYL29" s="12"/>
      <c r="CYM29" s="12"/>
      <c r="CYN29" s="12"/>
      <c r="CYO29" s="12"/>
      <c r="CYP29" s="12"/>
      <c r="CYQ29" s="12"/>
      <c r="CYR29" s="12"/>
      <c r="CYS29" s="12"/>
      <c r="CYT29" s="12"/>
      <c r="CYU29" s="12"/>
      <c r="CYV29" s="12"/>
      <c r="CYW29" s="12"/>
      <c r="CYX29" s="12"/>
      <c r="CYY29" s="12"/>
      <c r="CYZ29" s="12"/>
      <c r="CZA29" s="12"/>
      <c r="CZB29" s="12"/>
      <c r="CZC29" s="12"/>
      <c r="CZD29" s="12"/>
      <c r="CZE29" s="12"/>
      <c r="CZF29" s="12"/>
      <c r="CZG29" s="12"/>
      <c r="CZH29" s="12"/>
      <c r="CZI29" s="12"/>
      <c r="CZJ29" s="12"/>
      <c r="CZK29" s="12"/>
      <c r="CZL29" s="12"/>
      <c r="CZM29" s="12"/>
      <c r="CZN29" s="12"/>
      <c r="CZO29" s="12"/>
      <c r="CZP29" s="12"/>
      <c r="CZQ29" s="12"/>
      <c r="CZR29" s="12"/>
      <c r="CZS29" s="12"/>
      <c r="CZT29" s="12"/>
      <c r="CZU29" s="12"/>
      <c r="CZV29" s="12"/>
      <c r="CZW29" s="12"/>
      <c r="CZX29" s="12"/>
      <c r="CZY29" s="12"/>
      <c r="CZZ29" s="12"/>
      <c r="DAA29" s="12"/>
      <c r="DAB29" s="12"/>
      <c r="DAC29" s="12"/>
      <c r="DAD29" s="12"/>
      <c r="DAE29" s="12"/>
      <c r="DAF29" s="12"/>
      <c r="DAG29" s="12"/>
      <c r="DAH29" s="12"/>
      <c r="DAI29" s="12"/>
      <c r="DAJ29" s="12"/>
      <c r="DAK29" s="12"/>
      <c r="DAL29" s="12"/>
      <c r="DAM29" s="12"/>
      <c r="DAN29" s="12"/>
      <c r="DAO29" s="12"/>
      <c r="DAP29" s="12"/>
      <c r="DAQ29" s="12"/>
      <c r="DAR29" s="12"/>
      <c r="DAS29" s="12"/>
      <c r="DAT29" s="12"/>
      <c r="DAU29" s="12"/>
      <c r="DAV29" s="12"/>
      <c r="DAW29" s="12"/>
      <c r="DAX29" s="12"/>
      <c r="DAY29" s="12"/>
      <c r="DAZ29" s="12"/>
      <c r="DBA29" s="12"/>
      <c r="DBB29" s="12"/>
      <c r="DBC29" s="12"/>
      <c r="DBD29" s="12"/>
      <c r="DBE29" s="12"/>
      <c r="DBF29" s="12"/>
      <c r="DBG29" s="12"/>
      <c r="DBH29" s="12"/>
      <c r="DBI29" s="12"/>
      <c r="DBJ29" s="12"/>
      <c r="DBK29" s="12"/>
      <c r="DBL29" s="12"/>
      <c r="DBM29" s="12"/>
      <c r="DBN29" s="12"/>
      <c r="DBO29" s="12"/>
      <c r="DBP29" s="12"/>
      <c r="DBQ29" s="12"/>
      <c r="DBR29" s="12"/>
      <c r="DBS29" s="12"/>
      <c r="DBT29" s="12"/>
      <c r="DBU29" s="12"/>
      <c r="DBV29" s="12"/>
      <c r="DBW29" s="12"/>
      <c r="DBX29" s="12"/>
      <c r="DBY29" s="12"/>
      <c r="DBZ29" s="12"/>
      <c r="DCA29" s="12"/>
      <c r="DCB29" s="12"/>
      <c r="DCC29" s="12"/>
      <c r="DCD29" s="12"/>
      <c r="DCE29" s="12"/>
      <c r="DCF29" s="12"/>
      <c r="DCG29" s="12"/>
      <c r="DCH29" s="12"/>
      <c r="DCI29" s="12"/>
      <c r="DCJ29" s="12"/>
      <c r="DCK29" s="12"/>
      <c r="DCL29" s="12"/>
      <c r="DCM29" s="12"/>
      <c r="DCN29" s="12"/>
      <c r="DCO29" s="12"/>
      <c r="DCP29" s="12"/>
      <c r="DCQ29" s="12"/>
      <c r="DCR29" s="12"/>
      <c r="DCS29" s="12"/>
      <c r="DCT29" s="12"/>
      <c r="DCU29" s="12"/>
      <c r="DCV29" s="12"/>
      <c r="DCW29" s="12"/>
      <c r="DCX29" s="12"/>
      <c r="DCY29" s="12"/>
      <c r="DCZ29" s="12"/>
      <c r="DDA29" s="12"/>
      <c r="DDB29" s="12"/>
      <c r="DDC29" s="12"/>
      <c r="DDD29" s="12"/>
      <c r="DDE29" s="12"/>
      <c r="DDF29" s="12"/>
      <c r="DDG29" s="12"/>
      <c r="DDH29" s="12"/>
      <c r="DDI29" s="12"/>
      <c r="DDJ29" s="12"/>
      <c r="DDK29" s="12"/>
      <c r="DDL29" s="12"/>
      <c r="DDM29" s="12"/>
      <c r="DDN29" s="12"/>
      <c r="DDO29" s="12"/>
      <c r="DDP29" s="12"/>
      <c r="DDQ29" s="12"/>
      <c r="DDR29" s="12"/>
      <c r="DDS29" s="12"/>
      <c r="DDT29" s="12"/>
      <c r="DDU29" s="12"/>
      <c r="DDV29" s="12"/>
      <c r="DDW29" s="12"/>
      <c r="DDX29" s="12"/>
      <c r="DDY29" s="12"/>
      <c r="DDZ29" s="12"/>
      <c r="DEA29" s="12"/>
      <c r="DEB29" s="12"/>
      <c r="DEC29" s="12"/>
      <c r="DED29" s="12"/>
      <c r="DEE29" s="12"/>
      <c r="DEF29" s="12"/>
      <c r="DEG29" s="12"/>
      <c r="DEH29" s="12"/>
      <c r="DEI29" s="12"/>
      <c r="DEJ29" s="12"/>
      <c r="DEK29" s="12"/>
      <c r="DEL29" s="12"/>
      <c r="DEM29" s="12"/>
      <c r="DEN29" s="12"/>
      <c r="DEO29" s="12"/>
      <c r="DEP29" s="12"/>
      <c r="DEQ29" s="12"/>
      <c r="DER29" s="12"/>
      <c r="DES29" s="12"/>
      <c r="DET29" s="12"/>
      <c r="DEU29" s="12"/>
      <c r="DEV29" s="12"/>
      <c r="DEW29" s="12"/>
      <c r="DEX29" s="12"/>
      <c r="DEY29" s="12"/>
      <c r="DEZ29" s="12"/>
      <c r="DFA29" s="12"/>
      <c r="DFB29" s="12"/>
      <c r="DFC29" s="12"/>
      <c r="DFD29" s="12"/>
      <c r="DFE29" s="12"/>
      <c r="DFF29" s="12"/>
      <c r="DFG29" s="12"/>
      <c r="DFH29" s="12"/>
      <c r="DFI29" s="12"/>
      <c r="DFJ29" s="12"/>
      <c r="DFK29" s="12"/>
      <c r="DFL29" s="12"/>
      <c r="DFM29" s="12"/>
      <c r="DFN29" s="12"/>
      <c r="DFO29" s="12"/>
      <c r="DFP29" s="12"/>
      <c r="DFQ29" s="12"/>
      <c r="DFR29" s="12"/>
      <c r="DFS29" s="12"/>
      <c r="DFT29" s="12"/>
      <c r="DFU29" s="12"/>
      <c r="DFV29" s="12"/>
      <c r="DFW29" s="12"/>
      <c r="DFX29" s="12"/>
      <c r="DFY29" s="12"/>
      <c r="DFZ29" s="12"/>
      <c r="DGA29" s="12"/>
      <c r="DGB29" s="12"/>
      <c r="DGC29" s="12"/>
      <c r="DGD29" s="12"/>
      <c r="DGE29" s="12"/>
      <c r="DGF29" s="12"/>
      <c r="DGG29" s="12"/>
      <c r="DGH29" s="12"/>
      <c r="DGI29" s="12"/>
      <c r="DGJ29" s="12"/>
      <c r="DGK29" s="12"/>
      <c r="DGL29" s="12"/>
      <c r="DGM29" s="12"/>
      <c r="DGN29" s="12"/>
      <c r="DGO29" s="12"/>
      <c r="DGP29" s="12"/>
      <c r="DGQ29" s="12"/>
      <c r="DGR29" s="12"/>
      <c r="DGS29" s="12"/>
      <c r="DGT29" s="12"/>
      <c r="DGU29" s="12"/>
      <c r="DGV29" s="12"/>
      <c r="DGW29" s="12"/>
      <c r="DGX29" s="12"/>
      <c r="DGY29" s="12"/>
      <c r="DGZ29" s="12"/>
      <c r="DHA29" s="12"/>
      <c r="DHB29" s="12"/>
      <c r="DHC29" s="12"/>
      <c r="DHD29" s="12"/>
      <c r="DHE29" s="12"/>
      <c r="DHF29" s="12"/>
      <c r="DHG29" s="12"/>
      <c r="DHH29" s="12"/>
      <c r="DHI29" s="12"/>
      <c r="DHJ29" s="12"/>
      <c r="DHK29" s="12"/>
      <c r="DHL29" s="12"/>
      <c r="DHM29" s="12"/>
      <c r="DHN29" s="12"/>
      <c r="DHO29" s="12"/>
      <c r="DHP29" s="12"/>
      <c r="DHQ29" s="12"/>
      <c r="DHR29" s="12"/>
      <c r="DHS29" s="12"/>
      <c r="DHT29" s="12"/>
      <c r="DHU29" s="12"/>
      <c r="DHV29" s="12"/>
      <c r="DHW29" s="12"/>
      <c r="DHX29" s="12"/>
      <c r="DHY29" s="12"/>
      <c r="DHZ29" s="12"/>
      <c r="DIA29" s="12"/>
      <c r="DIB29" s="12"/>
      <c r="DIC29" s="12"/>
      <c r="DID29" s="12"/>
      <c r="DIE29" s="12"/>
      <c r="DIF29" s="12"/>
      <c r="DIG29" s="12"/>
      <c r="DIH29" s="12"/>
      <c r="DII29" s="12"/>
      <c r="DIJ29" s="12"/>
      <c r="DIK29" s="12"/>
      <c r="DIL29" s="12"/>
      <c r="DIM29" s="12"/>
      <c r="DIN29" s="12"/>
      <c r="DIO29" s="12"/>
      <c r="DIP29" s="12"/>
      <c r="DIQ29" s="12"/>
      <c r="DIR29" s="12"/>
      <c r="DIS29" s="12"/>
      <c r="DIT29" s="12"/>
      <c r="DIU29" s="12"/>
      <c r="DIV29" s="12"/>
      <c r="DIW29" s="12"/>
      <c r="DIX29" s="12"/>
      <c r="DIY29" s="12"/>
      <c r="DIZ29" s="12"/>
      <c r="DJA29" s="12"/>
      <c r="DJB29" s="12"/>
      <c r="DJC29" s="12"/>
      <c r="DJD29" s="12"/>
      <c r="DJE29" s="12"/>
      <c r="DJF29" s="12"/>
      <c r="DJG29" s="12"/>
      <c r="DJH29" s="12"/>
      <c r="DJI29" s="12"/>
      <c r="DJJ29" s="12"/>
      <c r="DJK29" s="12"/>
      <c r="DJL29" s="12"/>
      <c r="DJM29" s="12"/>
      <c r="DJN29" s="12"/>
      <c r="DJO29" s="12"/>
      <c r="DJP29" s="12"/>
      <c r="DJQ29" s="12"/>
      <c r="DJR29" s="12"/>
      <c r="DJS29" s="12"/>
      <c r="DJT29" s="12"/>
      <c r="DJU29" s="12"/>
      <c r="DJV29" s="12"/>
      <c r="DJW29" s="12"/>
      <c r="DJX29" s="12"/>
      <c r="DJY29" s="12"/>
      <c r="DJZ29" s="12"/>
      <c r="DKA29" s="12"/>
      <c r="DKB29" s="12"/>
      <c r="DKC29" s="12"/>
      <c r="DKD29" s="12"/>
      <c r="DKE29" s="12"/>
      <c r="DKF29" s="12"/>
      <c r="DKG29" s="12"/>
      <c r="DKH29" s="12"/>
      <c r="DKI29" s="12"/>
      <c r="DKJ29" s="12"/>
      <c r="DKK29" s="12"/>
      <c r="DKL29" s="12"/>
      <c r="DKM29" s="12"/>
      <c r="DKN29" s="12"/>
      <c r="DKO29" s="12"/>
      <c r="DKP29" s="12"/>
      <c r="DKQ29" s="12"/>
      <c r="DKR29" s="12"/>
      <c r="DKS29" s="12"/>
      <c r="DKT29" s="12"/>
      <c r="DKU29" s="12"/>
      <c r="DKV29" s="12"/>
      <c r="DKW29" s="12"/>
      <c r="DKX29" s="12"/>
      <c r="DKY29" s="12"/>
      <c r="DKZ29" s="12"/>
      <c r="DLA29" s="12"/>
      <c r="DLB29" s="12"/>
      <c r="DLC29" s="12"/>
      <c r="DLD29" s="12"/>
      <c r="DLE29" s="12"/>
      <c r="DLF29" s="12"/>
      <c r="DLG29" s="12"/>
      <c r="DLH29" s="12"/>
      <c r="DLI29" s="12"/>
      <c r="DLJ29" s="12"/>
      <c r="DLK29" s="12"/>
      <c r="DLL29" s="12"/>
      <c r="DLM29" s="12"/>
      <c r="DLN29" s="12"/>
      <c r="DLO29" s="12"/>
      <c r="DLP29" s="12"/>
      <c r="DLQ29" s="12"/>
      <c r="DLR29" s="12"/>
      <c r="DLS29" s="12"/>
      <c r="DLT29" s="12"/>
      <c r="DLU29" s="12"/>
      <c r="DLV29" s="12"/>
      <c r="DLW29" s="12"/>
      <c r="DLX29" s="12"/>
      <c r="DLY29" s="12"/>
      <c r="DLZ29" s="12"/>
      <c r="DMA29" s="12"/>
      <c r="DMB29" s="12"/>
      <c r="DMC29" s="12"/>
      <c r="DMD29" s="12"/>
      <c r="DME29" s="12"/>
      <c r="DMF29" s="12"/>
      <c r="DMG29" s="12"/>
      <c r="DMH29" s="12"/>
      <c r="DMI29" s="12"/>
      <c r="DMJ29" s="12"/>
      <c r="DMK29" s="12"/>
      <c r="DML29" s="12"/>
      <c r="DMM29" s="12"/>
      <c r="DMN29" s="12"/>
      <c r="DMO29" s="12"/>
      <c r="DMP29" s="12"/>
      <c r="DMQ29" s="12"/>
      <c r="DMR29" s="12"/>
      <c r="DMS29" s="12"/>
      <c r="DMT29" s="12"/>
      <c r="DMU29" s="12"/>
      <c r="DMV29" s="12"/>
      <c r="DMW29" s="12"/>
      <c r="DMX29" s="12"/>
      <c r="DMY29" s="12"/>
      <c r="DMZ29" s="12"/>
      <c r="DNA29" s="12"/>
      <c r="DNB29" s="12"/>
      <c r="DNC29" s="12"/>
      <c r="DND29" s="12"/>
      <c r="DNE29" s="12"/>
      <c r="DNF29" s="12"/>
      <c r="DNG29" s="12"/>
      <c r="DNH29" s="12"/>
      <c r="DNI29" s="12"/>
      <c r="DNJ29" s="12"/>
      <c r="DNK29" s="12"/>
      <c r="DNL29" s="12"/>
      <c r="DNM29" s="12"/>
      <c r="DNN29" s="12"/>
      <c r="DNO29" s="12"/>
      <c r="DNP29" s="12"/>
      <c r="DNQ29" s="12"/>
      <c r="DNR29" s="12"/>
      <c r="DNS29" s="12"/>
      <c r="DNT29" s="12"/>
      <c r="DNU29" s="12"/>
      <c r="DNV29" s="12"/>
      <c r="DNW29" s="12"/>
      <c r="DNX29" s="12"/>
      <c r="DNY29" s="12"/>
      <c r="DNZ29" s="12"/>
      <c r="DOA29" s="12"/>
      <c r="DOB29" s="12"/>
      <c r="DOC29" s="12"/>
      <c r="DOD29" s="12"/>
      <c r="DOE29" s="12"/>
      <c r="DOF29" s="12"/>
      <c r="DOG29" s="12"/>
      <c r="DOH29" s="12"/>
      <c r="DOI29" s="12"/>
      <c r="DOJ29" s="12"/>
      <c r="DOK29" s="12"/>
      <c r="DOL29" s="12"/>
      <c r="DOM29" s="12"/>
      <c r="DON29" s="12"/>
      <c r="DOO29" s="12"/>
      <c r="DOP29" s="12"/>
      <c r="DOQ29" s="12"/>
      <c r="DOR29" s="12"/>
      <c r="DOS29" s="12"/>
      <c r="DOT29" s="12"/>
      <c r="DOU29" s="12"/>
      <c r="DOV29" s="12"/>
      <c r="DOW29" s="12"/>
      <c r="DOX29" s="12"/>
      <c r="DOY29" s="12"/>
      <c r="DOZ29" s="12"/>
      <c r="DPA29" s="12"/>
      <c r="DPB29" s="12"/>
      <c r="DPC29" s="12"/>
      <c r="DPD29" s="12"/>
      <c r="DPE29" s="12"/>
      <c r="DPF29" s="12"/>
      <c r="DPG29" s="12"/>
      <c r="DPH29" s="12"/>
      <c r="DPI29" s="12"/>
      <c r="DPJ29" s="12"/>
      <c r="DPK29" s="12"/>
      <c r="DPL29" s="12"/>
      <c r="DPM29" s="12"/>
      <c r="DPN29" s="12"/>
      <c r="DPO29" s="12"/>
      <c r="DPP29" s="12"/>
      <c r="DPQ29" s="12"/>
      <c r="DPR29" s="12"/>
      <c r="DPS29" s="12"/>
      <c r="DPT29" s="12"/>
      <c r="DPU29" s="12"/>
      <c r="DPV29" s="12"/>
      <c r="DPW29" s="12"/>
      <c r="DPX29" s="12"/>
      <c r="DPY29" s="12"/>
      <c r="DPZ29" s="12"/>
      <c r="DQA29" s="12"/>
      <c r="DQB29" s="12"/>
      <c r="DQC29" s="12"/>
      <c r="DQD29" s="12"/>
      <c r="DQE29" s="12"/>
      <c r="DQF29" s="12"/>
      <c r="DQG29" s="12"/>
      <c r="DQH29" s="12"/>
      <c r="DQI29" s="12"/>
      <c r="DQJ29" s="12"/>
      <c r="DQK29" s="12"/>
      <c r="DQL29" s="12"/>
      <c r="DQM29" s="12"/>
      <c r="DQN29" s="12"/>
      <c r="DQO29" s="12"/>
      <c r="DQP29" s="12"/>
      <c r="DQQ29" s="12"/>
      <c r="DQR29" s="12"/>
      <c r="DQS29" s="12"/>
      <c r="DQT29" s="12"/>
      <c r="DQU29" s="12"/>
      <c r="DQV29" s="12"/>
      <c r="DQW29" s="12"/>
      <c r="DQX29" s="12"/>
      <c r="DQY29" s="12"/>
      <c r="DQZ29" s="12"/>
      <c r="DRA29" s="12"/>
      <c r="DRB29" s="12"/>
      <c r="DRC29" s="12"/>
      <c r="DRD29" s="12"/>
      <c r="DRE29" s="12"/>
      <c r="DRF29" s="12"/>
      <c r="DRG29" s="12"/>
      <c r="DRH29" s="12"/>
      <c r="DRI29" s="12"/>
      <c r="DRJ29" s="12"/>
      <c r="DRK29" s="12"/>
      <c r="DRL29" s="12"/>
      <c r="DRM29" s="12"/>
      <c r="DRN29" s="12"/>
      <c r="DRO29" s="12"/>
      <c r="DRP29" s="12"/>
      <c r="DRQ29" s="12"/>
      <c r="DRR29" s="12"/>
      <c r="DRS29" s="12"/>
      <c r="DRT29" s="12"/>
      <c r="DRU29" s="12"/>
      <c r="DRV29" s="12"/>
      <c r="DRW29" s="12"/>
      <c r="DRX29" s="12"/>
      <c r="DRY29" s="12"/>
      <c r="DRZ29" s="12"/>
      <c r="DSA29" s="12"/>
      <c r="DSB29" s="12"/>
      <c r="DSC29" s="12"/>
      <c r="DSD29" s="12"/>
      <c r="DSE29" s="12"/>
      <c r="DSF29" s="12"/>
      <c r="DSG29" s="12"/>
      <c r="DSH29" s="12"/>
      <c r="DSI29" s="12"/>
      <c r="DSJ29" s="12"/>
      <c r="DSK29" s="12"/>
      <c r="DSL29" s="12"/>
      <c r="DSM29" s="12"/>
      <c r="DSN29" s="12"/>
      <c r="DSO29" s="12"/>
      <c r="DSP29" s="12"/>
      <c r="DSQ29" s="12"/>
      <c r="DSR29" s="12"/>
      <c r="DSS29" s="12"/>
      <c r="DST29" s="12"/>
      <c r="DSU29" s="12"/>
      <c r="DSV29" s="12"/>
      <c r="DSW29" s="12"/>
      <c r="DSX29" s="12"/>
      <c r="DSY29" s="12"/>
      <c r="DSZ29" s="12"/>
      <c r="DTA29" s="12"/>
      <c r="DTB29" s="12"/>
      <c r="DTC29" s="12"/>
      <c r="DTD29" s="12"/>
      <c r="DTE29" s="12"/>
      <c r="DTF29" s="12"/>
      <c r="DTG29" s="12"/>
      <c r="DTH29" s="12"/>
      <c r="DTI29" s="12"/>
      <c r="DTJ29" s="12"/>
      <c r="DTK29" s="12"/>
      <c r="DTL29" s="12"/>
      <c r="DTM29" s="12"/>
      <c r="DTN29" s="12"/>
      <c r="DTO29" s="12"/>
      <c r="DTP29" s="12"/>
      <c r="DTQ29" s="12"/>
      <c r="DTR29" s="12"/>
      <c r="DTS29" s="12"/>
      <c r="DTT29" s="12"/>
      <c r="DTU29" s="12"/>
      <c r="DTV29" s="12"/>
      <c r="DTW29" s="12"/>
      <c r="DTX29" s="12"/>
      <c r="DTY29" s="12"/>
      <c r="DTZ29" s="12"/>
      <c r="DUA29" s="12"/>
      <c r="DUB29" s="12"/>
      <c r="DUC29" s="12"/>
      <c r="DUD29" s="12"/>
      <c r="DUE29" s="12"/>
      <c r="DUF29" s="12"/>
      <c r="DUG29" s="12"/>
      <c r="DUH29" s="12"/>
      <c r="DUI29" s="12"/>
      <c r="DUJ29" s="12"/>
      <c r="DUK29" s="12"/>
      <c r="DUL29" s="12"/>
      <c r="DUM29" s="12"/>
      <c r="DUN29" s="12"/>
      <c r="DUO29" s="12"/>
      <c r="DUP29" s="12"/>
      <c r="DUQ29" s="12"/>
      <c r="DUR29" s="12"/>
      <c r="DUS29" s="12"/>
      <c r="DUT29" s="12"/>
      <c r="DUU29" s="12"/>
      <c r="DUV29" s="12"/>
      <c r="DUW29" s="12"/>
      <c r="DUX29" s="12"/>
      <c r="DUY29" s="12"/>
      <c r="DUZ29" s="12"/>
      <c r="DVA29" s="12"/>
      <c r="DVB29" s="12"/>
      <c r="DVC29" s="12"/>
      <c r="DVD29" s="12"/>
      <c r="DVE29" s="12"/>
      <c r="DVF29" s="12"/>
      <c r="DVG29" s="12"/>
      <c r="DVH29" s="12"/>
      <c r="DVI29" s="12"/>
      <c r="DVJ29" s="12"/>
      <c r="DVK29" s="12"/>
      <c r="DVL29" s="12"/>
      <c r="DVM29" s="12"/>
      <c r="DVN29" s="12"/>
      <c r="DVO29" s="12"/>
      <c r="DVP29" s="12"/>
      <c r="DVQ29" s="12"/>
      <c r="DVR29" s="12"/>
      <c r="DVS29" s="12"/>
      <c r="DVT29" s="12"/>
      <c r="DVU29" s="12"/>
      <c r="DVV29" s="12"/>
      <c r="DVW29" s="12"/>
      <c r="DVX29" s="12"/>
      <c r="DVY29" s="12"/>
      <c r="DVZ29" s="12"/>
      <c r="DWA29" s="12"/>
      <c r="DWB29" s="12"/>
      <c r="DWC29" s="12"/>
      <c r="DWD29" s="12"/>
      <c r="DWE29" s="12"/>
      <c r="DWF29" s="12"/>
      <c r="DWG29" s="12"/>
      <c r="DWH29" s="12"/>
      <c r="DWI29" s="12"/>
      <c r="DWJ29" s="12"/>
      <c r="DWK29" s="12"/>
      <c r="DWL29" s="12"/>
      <c r="DWM29" s="12"/>
      <c r="DWN29" s="12"/>
      <c r="DWO29" s="12"/>
      <c r="DWP29" s="12"/>
      <c r="DWQ29" s="12"/>
      <c r="DWR29" s="12"/>
      <c r="DWS29" s="12"/>
      <c r="DWT29" s="12"/>
      <c r="DWU29" s="12"/>
      <c r="DWV29" s="12"/>
      <c r="DWW29" s="12"/>
      <c r="DWX29" s="12"/>
      <c r="DWY29" s="12"/>
      <c r="DWZ29" s="12"/>
      <c r="DXA29" s="12"/>
      <c r="DXB29" s="12"/>
      <c r="DXC29" s="12"/>
      <c r="DXD29" s="12"/>
      <c r="DXE29" s="12"/>
      <c r="DXF29" s="12"/>
      <c r="DXG29" s="12"/>
      <c r="DXH29" s="12"/>
      <c r="DXI29" s="12"/>
      <c r="DXJ29" s="12"/>
      <c r="DXK29" s="12"/>
      <c r="DXL29" s="12"/>
      <c r="DXM29" s="12"/>
      <c r="DXN29" s="12"/>
      <c r="DXO29" s="12"/>
      <c r="DXP29" s="12"/>
      <c r="DXQ29" s="12"/>
      <c r="DXR29" s="12"/>
      <c r="DXS29" s="12"/>
      <c r="DXT29" s="12"/>
      <c r="DXU29" s="12"/>
      <c r="DXV29" s="12"/>
      <c r="DXW29" s="12"/>
      <c r="DXX29" s="12"/>
      <c r="DXY29" s="12"/>
      <c r="DXZ29" s="12"/>
      <c r="DYA29" s="12"/>
      <c r="DYB29" s="12"/>
      <c r="DYC29" s="12"/>
      <c r="DYD29" s="12"/>
      <c r="DYE29" s="12"/>
      <c r="DYF29" s="12"/>
      <c r="DYG29" s="12"/>
      <c r="DYH29" s="12"/>
      <c r="DYI29" s="12"/>
      <c r="DYJ29" s="12"/>
      <c r="DYK29" s="12"/>
      <c r="DYL29" s="12"/>
      <c r="DYM29" s="12"/>
      <c r="DYN29" s="12"/>
      <c r="DYO29" s="12"/>
      <c r="DYP29" s="12"/>
      <c r="DYQ29" s="12"/>
      <c r="DYR29" s="12"/>
      <c r="DYS29" s="12"/>
      <c r="DYT29" s="12"/>
      <c r="DYU29" s="12"/>
      <c r="DYV29" s="12"/>
      <c r="DYW29" s="12"/>
      <c r="DYX29" s="12"/>
      <c r="DYY29" s="12"/>
      <c r="DYZ29" s="12"/>
      <c r="DZA29" s="12"/>
      <c r="DZB29" s="12"/>
      <c r="DZC29" s="12"/>
      <c r="DZD29" s="12"/>
      <c r="DZE29" s="12"/>
      <c r="DZF29" s="12"/>
      <c r="DZG29" s="12"/>
      <c r="DZH29" s="12"/>
      <c r="DZI29" s="12"/>
      <c r="DZJ29" s="12"/>
      <c r="DZK29" s="12"/>
      <c r="DZL29" s="12"/>
      <c r="DZM29" s="12"/>
      <c r="DZN29" s="12"/>
      <c r="DZO29" s="12"/>
      <c r="DZP29" s="12"/>
      <c r="DZQ29" s="12"/>
      <c r="DZR29" s="12"/>
      <c r="DZS29" s="12"/>
      <c r="DZT29" s="12"/>
      <c r="DZU29" s="12"/>
      <c r="DZV29" s="12"/>
      <c r="DZW29" s="12"/>
      <c r="DZX29" s="12"/>
      <c r="DZY29" s="12"/>
      <c r="DZZ29" s="12"/>
      <c r="EAA29" s="12"/>
      <c r="EAB29" s="12"/>
      <c r="EAC29" s="12"/>
      <c r="EAD29" s="12"/>
      <c r="EAE29" s="12"/>
      <c r="EAF29" s="12"/>
      <c r="EAG29" s="12"/>
      <c r="EAH29" s="12"/>
      <c r="EAI29" s="12"/>
      <c r="EAJ29" s="12"/>
      <c r="EAK29" s="12"/>
      <c r="EAL29" s="12"/>
      <c r="EAM29" s="12"/>
      <c r="EAN29" s="12"/>
      <c r="EAO29" s="12"/>
      <c r="EAP29" s="12"/>
      <c r="EAQ29" s="12"/>
      <c r="EAR29" s="12"/>
      <c r="EAS29" s="12"/>
      <c r="EAT29" s="12"/>
      <c r="EAU29" s="12"/>
      <c r="EAV29" s="12"/>
      <c r="EAW29" s="12"/>
      <c r="EAX29" s="12"/>
      <c r="EAY29" s="12"/>
      <c r="EAZ29" s="12"/>
      <c r="EBA29" s="12"/>
      <c r="EBB29" s="12"/>
      <c r="EBC29" s="12"/>
      <c r="EBD29" s="12"/>
      <c r="EBE29" s="12"/>
      <c r="EBF29" s="12"/>
      <c r="EBG29" s="12"/>
      <c r="EBH29" s="12"/>
      <c r="EBI29" s="12"/>
      <c r="EBJ29" s="12"/>
      <c r="EBK29" s="12"/>
      <c r="EBL29" s="12"/>
      <c r="EBM29" s="12"/>
      <c r="EBN29" s="12"/>
      <c r="EBO29" s="12"/>
      <c r="EBP29" s="12"/>
      <c r="EBQ29" s="12"/>
      <c r="EBR29" s="12"/>
      <c r="EBS29" s="12"/>
      <c r="EBT29" s="12"/>
      <c r="EBU29" s="12"/>
      <c r="EBV29" s="12"/>
      <c r="EBW29" s="12"/>
      <c r="EBX29" s="12"/>
      <c r="EBY29" s="12"/>
      <c r="EBZ29" s="12"/>
      <c r="ECA29" s="12"/>
      <c r="ECB29" s="12"/>
      <c r="ECC29" s="12"/>
      <c r="ECD29" s="12"/>
      <c r="ECE29" s="12"/>
      <c r="ECF29" s="12"/>
      <c r="ECG29" s="12"/>
      <c r="ECH29" s="12"/>
      <c r="ECI29" s="12"/>
      <c r="ECJ29" s="12"/>
      <c r="ECK29" s="12"/>
      <c r="ECL29" s="12"/>
      <c r="ECM29" s="12"/>
      <c r="ECN29" s="12"/>
      <c r="ECO29" s="12"/>
      <c r="ECP29" s="12"/>
      <c r="ECQ29" s="12"/>
      <c r="ECR29" s="12"/>
      <c r="ECS29" s="12"/>
      <c r="ECT29" s="12"/>
      <c r="ECU29" s="12"/>
      <c r="ECV29" s="12"/>
      <c r="ECW29" s="12"/>
      <c r="ECX29" s="12"/>
      <c r="ECY29" s="12"/>
      <c r="ECZ29" s="12"/>
      <c r="EDA29" s="12"/>
      <c r="EDB29" s="12"/>
      <c r="EDC29" s="12"/>
      <c r="EDD29" s="12"/>
      <c r="EDE29" s="12"/>
      <c r="EDF29" s="12"/>
      <c r="EDG29" s="12"/>
      <c r="EDH29" s="12"/>
      <c r="EDI29" s="12"/>
      <c r="EDJ29" s="12"/>
      <c r="EDK29" s="12"/>
      <c r="EDL29" s="12"/>
      <c r="EDM29" s="12"/>
      <c r="EDN29" s="12"/>
      <c r="EDO29" s="12"/>
      <c r="EDP29" s="12"/>
      <c r="EDQ29" s="12"/>
      <c r="EDR29" s="12"/>
      <c r="EDS29" s="12"/>
      <c r="EDT29" s="12"/>
      <c r="EDU29" s="12"/>
      <c r="EDV29" s="12"/>
      <c r="EDW29" s="12"/>
      <c r="EDX29" s="12"/>
      <c r="EDY29" s="12"/>
      <c r="EDZ29" s="12"/>
      <c r="EEA29" s="12"/>
      <c r="EEB29" s="12"/>
      <c r="EEC29" s="12"/>
      <c r="EED29" s="12"/>
      <c r="EEE29" s="12"/>
      <c r="EEF29" s="12"/>
      <c r="EEG29" s="12"/>
      <c r="EEH29" s="12"/>
      <c r="EEI29" s="12"/>
      <c r="EEJ29" s="12"/>
      <c r="EEK29" s="12"/>
      <c r="EEL29" s="12"/>
      <c r="EEM29" s="12"/>
      <c r="EEN29" s="12"/>
      <c r="EEO29" s="12"/>
      <c r="EEP29" s="12"/>
      <c r="EEQ29" s="12"/>
      <c r="EER29" s="12"/>
      <c r="EES29" s="12"/>
      <c r="EET29" s="12"/>
      <c r="EEU29" s="12"/>
      <c r="EEV29" s="12"/>
      <c r="EEW29" s="12"/>
      <c r="EEX29" s="12"/>
      <c r="EEY29" s="12"/>
      <c r="EEZ29" s="12"/>
      <c r="EFA29" s="12"/>
      <c r="EFB29" s="12"/>
      <c r="EFC29" s="12"/>
      <c r="EFD29" s="12"/>
      <c r="EFE29" s="12"/>
      <c r="EFF29" s="12"/>
      <c r="EFG29" s="12"/>
      <c r="EFH29" s="12"/>
      <c r="EFI29" s="12"/>
      <c r="EFJ29" s="12"/>
      <c r="EFK29" s="12"/>
      <c r="EFL29" s="12"/>
      <c r="EFM29" s="12"/>
      <c r="EFN29" s="12"/>
      <c r="EFO29" s="12"/>
      <c r="EFP29" s="12"/>
      <c r="EFQ29" s="12"/>
      <c r="EFR29" s="12"/>
      <c r="EFS29" s="12"/>
      <c r="EFT29" s="12"/>
      <c r="EFU29" s="12"/>
      <c r="EFV29" s="12"/>
      <c r="EFW29" s="12"/>
      <c r="EFX29" s="12"/>
      <c r="EFY29" s="12"/>
      <c r="EFZ29" s="12"/>
      <c r="EGA29" s="12"/>
      <c r="EGB29" s="12"/>
      <c r="EGC29" s="12"/>
      <c r="EGD29" s="12"/>
      <c r="EGE29" s="12"/>
      <c r="EGF29" s="12"/>
      <c r="EGG29" s="12"/>
      <c r="EGH29" s="12"/>
      <c r="EGI29" s="12"/>
      <c r="EGJ29" s="12"/>
      <c r="EGK29" s="12"/>
      <c r="EGL29" s="12"/>
      <c r="EGM29" s="12"/>
      <c r="EGN29" s="12"/>
      <c r="EGO29" s="12"/>
      <c r="EGP29" s="12"/>
      <c r="EGQ29" s="12"/>
      <c r="EGR29" s="12"/>
      <c r="EGS29" s="12"/>
      <c r="EGT29" s="12"/>
      <c r="EGU29" s="12"/>
      <c r="EGV29" s="12"/>
      <c r="EGW29" s="12"/>
      <c r="EGX29" s="12"/>
      <c r="EGY29" s="12"/>
      <c r="EGZ29" s="12"/>
      <c r="EHA29" s="12"/>
      <c r="EHB29" s="12"/>
      <c r="EHC29" s="12"/>
      <c r="EHD29" s="12"/>
      <c r="EHE29" s="12"/>
      <c r="EHF29" s="12"/>
      <c r="EHG29" s="12"/>
      <c r="EHH29" s="12"/>
      <c r="EHI29" s="12"/>
      <c r="EHJ29" s="12"/>
      <c r="EHK29" s="12"/>
      <c r="EHL29" s="12"/>
      <c r="EHM29" s="12"/>
      <c r="EHN29" s="12"/>
      <c r="EHO29" s="12"/>
      <c r="EHP29" s="12"/>
      <c r="EHQ29" s="12"/>
      <c r="EHR29" s="12"/>
      <c r="EHS29" s="12"/>
      <c r="EHT29" s="12"/>
      <c r="EHU29" s="12"/>
      <c r="EHV29" s="12"/>
      <c r="EHW29" s="12"/>
      <c r="EHX29" s="12"/>
      <c r="EHY29" s="12"/>
      <c r="EHZ29" s="12"/>
      <c r="EIA29" s="12"/>
      <c r="EIB29" s="12"/>
      <c r="EIC29" s="12"/>
      <c r="EID29" s="12"/>
      <c r="EIE29" s="12"/>
      <c r="EIF29" s="12"/>
      <c r="EIG29" s="12"/>
      <c r="EIH29" s="12"/>
      <c r="EII29" s="12"/>
      <c r="EIJ29" s="12"/>
      <c r="EIK29" s="12"/>
      <c r="EIL29" s="12"/>
      <c r="EIM29" s="12"/>
      <c r="EIN29" s="12"/>
      <c r="EIO29" s="12"/>
      <c r="EIP29" s="12"/>
      <c r="EIQ29" s="12"/>
      <c r="EIR29" s="12"/>
      <c r="EIS29" s="12"/>
      <c r="EIT29" s="12"/>
      <c r="EIU29" s="12"/>
      <c r="EIV29" s="12"/>
      <c r="EIW29" s="12"/>
      <c r="EIX29" s="12"/>
      <c r="EIY29" s="12"/>
      <c r="EIZ29" s="12"/>
      <c r="EJA29" s="12"/>
      <c r="EJB29" s="12"/>
      <c r="EJC29" s="12"/>
      <c r="EJD29" s="12"/>
      <c r="EJE29" s="12"/>
      <c r="EJF29" s="12"/>
      <c r="EJG29" s="12"/>
      <c r="EJH29" s="12"/>
      <c r="EJI29" s="12"/>
      <c r="EJJ29" s="12"/>
      <c r="EJK29" s="12"/>
      <c r="EJL29" s="12"/>
      <c r="EJM29" s="12"/>
      <c r="EJN29" s="12"/>
      <c r="EJO29" s="12"/>
      <c r="EJP29" s="12"/>
      <c r="EJQ29" s="12"/>
      <c r="EJR29" s="12"/>
      <c r="EJS29" s="12"/>
      <c r="EJT29" s="12"/>
      <c r="EJU29" s="12"/>
      <c r="EJV29" s="12"/>
      <c r="EJW29" s="12"/>
      <c r="EJX29" s="12"/>
      <c r="EJY29" s="12"/>
      <c r="EJZ29" s="12"/>
      <c r="EKA29" s="12"/>
      <c r="EKB29" s="12"/>
      <c r="EKC29" s="12"/>
      <c r="EKD29" s="12"/>
      <c r="EKE29" s="12"/>
      <c r="EKF29" s="12"/>
      <c r="EKG29" s="12"/>
      <c r="EKH29" s="12"/>
      <c r="EKI29" s="12"/>
      <c r="EKJ29" s="12"/>
      <c r="EKK29" s="12"/>
      <c r="EKL29" s="12"/>
      <c r="EKM29" s="12"/>
      <c r="EKN29" s="12"/>
      <c r="EKO29" s="12"/>
      <c r="EKP29" s="12"/>
      <c r="EKQ29" s="12"/>
      <c r="EKR29" s="12"/>
      <c r="EKS29" s="12"/>
      <c r="EKT29" s="12"/>
      <c r="EKU29" s="12"/>
      <c r="EKV29" s="12"/>
      <c r="EKW29" s="12"/>
      <c r="EKX29" s="12"/>
      <c r="EKY29" s="12"/>
      <c r="EKZ29" s="12"/>
      <c r="ELA29" s="12"/>
      <c r="ELB29" s="12"/>
      <c r="ELC29" s="12"/>
      <c r="ELD29" s="12"/>
      <c r="ELE29" s="12"/>
      <c r="ELF29" s="12"/>
      <c r="ELG29" s="12"/>
      <c r="ELH29" s="12"/>
      <c r="ELI29" s="12"/>
      <c r="ELJ29" s="12"/>
      <c r="ELK29" s="12"/>
      <c r="ELL29" s="12"/>
      <c r="ELM29" s="12"/>
      <c r="ELN29" s="12"/>
      <c r="ELO29" s="12"/>
      <c r="ELP29" s="12"/>
      <c r="ELQ29" s="12"/>
      <c r="ELR29" s="12"/>
      <c r="ELS29" s="12"/>
      <c r="ELT29" s="12"/>
      <c r="ELU29" s="12"/>
      <c r="ELV29" s="12"/>
      <c r="ELW29" s="12"/>
      <c r="ELX29" s="12"/>
      <c r="ELY29" s="12"/>
      <c r="ELZ29" s="12"/>
      <c r="EMA29" s="12"/>
      <c r="EMB29" s="12"/>
      <c r="EMC29" s="12"/>
      <c r="EMD29" s="12"/>
      <c r="EME29" s="12"/>
      <c r="EMF29" s="12"/>
      <c r="EMG29" s="12"/>
      <c r="EMH29" s="12"/>
      <c r="EMI29" s="12"/>
      <c r="EMJ29" s="12"/>
      <c r="EMK29" s="12"/>
      <c r="EML29" s="12"/>
      <c r="EMM29" s="12"/>
      <c r="EMN29" s="12"/>
      <c r="EMO29" s="12"/>
      <c r="EMP29" s="12"/>
      <c r="EMQ29" s="12"/>
      <c r="EMR29" s="12"/>
      <c r="EMS29" s="12"/>
      <c r="EMT29" s="12"/>
      <c r="EMU29" s="12"/>
      <c r="EMV29" s="12"/>
      <c r="EMW29" s="12"/>
      <c r="EMX29" s="12"/>
      <c r="EMY29" s="12"/>
      <c r="EMZ29" s="12"/>
      <c r="ENA29" s="12"/>
      <c r="ENB29" s="12"/>
      <c r="ENC29" s="12"/>
      <c r="END29" s="12"/>
      <c r="ENE29" s="12"/>
      <c r="ENF29" s="12"/>
      <c r="ENG29" s="12"/>
      <c r="ENH29" s="12"/>
      <c r="ENI29" s="12"/>
      <c r="ENJ29" s="12"/>
      <c r="ENK29" s="12"/>
      <c r="ENL29" s="12"/>
      <c r="ENM29" s="12"/>
      <c r="ENN29" s="12"/>
      <c r="ENO29" s="12"/>
      <c r="ENP29" s="12"/>
      <c r="ENQ29" s="12"/>
      <c r="ENR29" s="12"/>
      <c r="ENS29" s="12"/>
      <c r="ENT29" s="12"/>
      <c r="ENU29" s="12"/>
      <c r="ENV29" s="12"/>
      <c r="ENW29" s="12"/>
      <c r="ENX29" s="12"/>
      <c r="ENY29" s="12"/>
      <c r="ENZ29" s="12"/>
      <c r="EOA29" s="12"/>
      <c r="EOB29" s="12"/>
      <c r="EOC29" s="12"/>
      <c r="EOD29" s="12"/>
      <c r="EOE29" s="12"/>
      <c r="EOF29" s="12"/>
      <c r="EOG29" s="12"/>
      <c r="EOH29" s="12"/>
      <c r="EOI29" s="12"/>
      <c r="EOJ29" s="12"/>
      <c r="EOK29" s="12"/>
      <c r="EOL29" s="12"/>
      <c r="EOM29" s="12"/>
      <c r="EON29" s="12"/>
      <c r="EOO29" s="12"/>
      <c r="EOP29" s="12"/>
      <c r="EOQ29" s="12"/>
      <c r="EOR29" s="12"/>
      <c r="EOS29" s="12"/>
      <c r="EOT29" s="12"/>
      <c r="EOU29" s="12"/>
      <c r="EOV29" s="12"/>
      <c r="EOW29" s="12"/>
      <c r="EOX29" s="12"/>
      <c r="EOY29" s="12"/>
      <c r="EOZ29" s="12"/>
      <c r="EPA29" s="12"/>
      <c r="EPB29" s="12"/>
      <c r="EPC29" s="12"/>
      <c r="EPD29" s="12"/>
      <c r="EPE29" s="12"/>
      <c r="EPF29" s="12"/>
      <c r="EPG29" s="12"/>
      <c r="EPH29" s="12"/>
      <c r="EPI29" s="12"/>
      <c r="EPJ29" s="12"/>
      <c r="EPK29" s="12"/>
      <c r="EPL29" s="12"/>
      <c r="EPM29" s="12"/>
      <c r="EPN29" s="12"/>
      <c r="EPO29" s="12"/>
      <c r="EPP29" s="12"/>
      <c r="EPQ29" s="12"/>
      <c r="EPR29" s="12"/>
      <c r="EPS29" s="12"/>
      <c r="EPT29" s="12"/>
      <c r="EPU29" s="12"/>
      <c r="EPV29" s="12"/>
      <c r="EPW29" s="12"/>
      <c r="EPX29" s="12"/>
      <c r="EPY29" s="12"/>
      <c r="EPZ29" s="12"/>
      <c r="EQA29" s="12"/>
      <c r="EQB29" s="12"/>
      <c r="EQC29" s="12"/>
      <c r="EQD29" s="12"/>
      <c r="EQE29" s="12"/>
      <c r="EQF29" s="12"/>
      <c r="EQG29" s="12"/>
      <c r="EQH29" s="12"/>
      <c r="EQI29" s="12"/>
      <c r="EQJ29" s="12"/>
      <c r="EQK29" s="12"/>
      <c r="EQL29" s="12"/>
      <c r="EQM29" s="12"/>
      <c r="EQN29" s="12"/>
      <c r="EQO29" s="12"/>
      <c r="EQP29" s="12"/>
      <c r="EQQ29" s="12"/>
      <c r="EQR29" s="12"/>
      <c r="EQS29" s="12"/>
      <c r="EQT29" s="12"/>
      <c r="EQU29" s="12"/>
      <c r="EQV29" s="12"/>
      <c r="EQW29" s="12"/>
      <c r="EQX29" s="12"/>
      <c r="EQY29" s="12"/>
      <c r="EQZ29" s="12"/>
      <c r="ERA29" s="12"/>
      <c r="ERB29" s="12"/>
      <c r="ERC29" s="12"/>
      <c r="ERD29" s="12"/>
      <c r="ERE29" s="12"/>
      <c r="ERF29" s="12"/>
      <c r="ERG29" s="12"/>
      <c r="ERH29" s="12"/>
      <c r="ERI29" s="12"/>
      <c r="ERJ29" s="12"/>
      <c r="ERK29" s="12"/>
      <c r="ERL29" s="12"/>
      <c r="ERM29" s="12"/>
      <c r="ERN29" s="12"/>
      <c r="ERO29" s="12"/>
      <c r="ERP29" s="12"/>
      <c r="ERQ29" s="12"/>
      <c r="ERR29" s="12"/>
      <c r="ERS29" s="12"/>
      <c r="ERT29" s="12"/>
      <c r="ERU29" s="12"/>
      <c r="ERV29" s="12"/>
      <c r="ERW29" s="12"/>
      <c r="ERX29" s="12"/>
      <c r="ERY29" s="12"/>
      <c r="ERZ29" s="12"/>
      <c r="ESA29" s="12"/>
      <c r="ESB29" s="12"/>
      <c r="ESC29" s="12"/>
      <c r="ESD29" s="12"/>
      <c r="ESE29" s="12"/>
      <c r="ESF29" s="12"/>
      <c r="ESG29" s="12"/>
      <c r="ESH29" s="12"/>
      <c r="ESI29" s="12"/>
      <c r="ESJ29" s="12"/>
      <c r="ESK29" s="12"/>
      <c r="ESL29" s="12"/>
      <c r="ESM29" s="12"/>
      <c r="ESN29" s="12"/>
      <c r="ESO29" s="12"/>
      <c r="ESP29" s="12"/>
      <c r="ESQ29" s="12"/>
      <c r="ESR29" s="12"/>
      <c r="ESS29" s="12"/>
      <c r="EST29" s="12"/>
      <c r="ESU29" s="12"/>
      <c r="ESV29" s="12"/>
      <c r="ESW29" s="12"/>
      <c r="ESX29" s="12"/>
      <c r="ESY29" s="12"/>
      <c r="ESZ29" s="12"/>
      <c r="ETA29" s="12"/>
      <c r="ETB29" s="12"/>
      <c r="ETC29" s="12"/>
      <c r="ETD29" s="12"/>
      <c r="ETE29" s="12"/>
      <c r="ETF29" s="12"/>
      <c r="ETG29" s="12"/>
      <c r="ETH29" s="12"/>
      <c r="ETI29" s="12"/>
      <c r="ETJ29" s="12"/>
      <c r="ETK29" s="12"/>
      <c r="ETL29" s="12"/>
      <c r="ETM29" s="12"/>
      <c r="ETN29" s="12"/>
      <c r="ETO29" s="12"/>
      <c r="ETP29" s="12"/>
      <c r="ETQ29" s="12"/>
      <c r="ETR29" s="12"/>
      <c r="ETS29" s="12"/>
      <c r="ETT29" s="12"/>
      <c r="ETU29" s="12"/>
      <c r="ETV29" s="12"/>
      <c r="ETW29" s="12"/>
      <c r="ETX29" s="12"/>
      <c r="ETY29" s="12"/>
      <c r="ETZ29" s="12"/>
      <c r="EUA29" s="12"/>
      <c r="EUB29" s="12"/>
      <c r="EUC29" s="12"/>
      <c r="EUD29" s="12"/>
      <c r="EUE29" s="12"/>
      <c r="EUF29" s="12"/>
      <c r="EUG29" s="12"/>
      <c r="EUH29" s="12"/>
      <c r="EUI29" s="12"/>
      <c r="EUJ29" s="12"/>
      <c r="EUK29" s="12"/>
      <c r="EUL29" s="12"/>
      <c r="EUM29" s="12"/>
      <c r="EUN29" s="12"/>
      <c r="EUO29" s="12"/>
      <c r="EUP29" s="12"/>
      <c r="EUQ29" s="12"/>
      <c r="EUR29" s="12"/>
      <c r="EUS29" s="12"/>
      <c r="EUT29" s="12"/>
      <c r="EUU29" s="12"/>
      <c r="EUV29" s="12"/>
      <c r="EUW29" s="12"/>
      <c r="EUX29" s="12"/>
      <c r="EUY29" s="12"/>
      <c r="EUZ29" s="12"/>
      <c r="EVA29" s="12"/>
      <c r="EVB29" s="12"/>
      <c r="EVC29" s="12"/>
      <c r="EVD29" s="12"/>
      <c r="EVE29" s="12"/>
      <c r="EVF29" s="12"/>
      <c r="EVG29" s="12"/>
      <c r="EVH29" s="12"/>
      <c r="EVI29" s="12"/>
      <c r="EVJ29" s="12"/>
      <c r="EVK29" s="12"/>
      <c r="EVL29" s="12"/>
      <c r="EVM29" s="12"/>
      <c r="EVN29" s="12"/>
      <c r="EVO29" s="12"/>
      <c r="EVP29" s="12"/>
      <c r="EVQ29" s="12"/>
      <c r="EVR29" s="12"/>
      <c r="EVS29" s="12"/>
      <c r="EVT29" s="12"/>
      <c r="EVU29" s="12"/>
      <c r="EVV29" s="12"/>
      <c r="EVW29" s="12"/>
      <c r="EVX29" s="12"/>
      <c r="EVY29" s="12"/>
      <c r="EVZ29" s="12"/>
      <c r="EWA29" s="12"/>
      <c r="EWB29" s="12"/>
      <c r="EWC29" s="12"/>
      <c r="EWD29" s="12"/>
      <c r="EWE29" s="12"/>
      <c r="EWF29" s="12"/>
      <c r="EWG29" s="12"/>
      <c r="EWH29" s="12"/>
      <c r="EWI29" s="12"/>
      <c r="EWJ29" s="12"/>
      <c r="EWK29" s="12"/>
      <c r="EWL29" s="12"/>
      <c r="EWM29" s="12"/>
      <c r="EWN29" s="12"/>
      <c r="EWO29" s="12"/>
      <c r="EWP29" s="12"/>
      <c r="EWQ29" s="12"/>
      <c r="EWR29" s="12"/>
      <c r="EWS29" s="12"/>
      <c r="EWT29" s="12"/>
      <c r="EWU29" s="12"/>
      <c r="EWV29" s="12"/>
      <c r="EWW29" s="12"/>
      <c r="EWX29" s="12"/>
      <c r="EWY29" s="12"/>
      <c r="EWZ29" s="12"/>
      <c r="EXA29" s="12"/>
      <c r="EXB29" s="12"/>
      <c r="EXC29" s="12"/>
      <c r="EXD29" s="12"/>
      <c r="EXE29" s="12"/>
      <c r="EXF29" s="12"/>
      <c r="EXG29" s="12"/>
      <c r="EXH29" s="12"/>
      <c r="EXI29" s="12"/>
      <c r="EXJ29" s="12"/>
      <c r="EXK29" s="12"/>
      <c r="EXL29" s="12"/>
      <c r="EXM29" s="12"/>
      <c r="EXN29" s="12"/>
      <c r="EXO29" s="12"/>
      <c r="EXP29" s="12"/>
      <c r="EXQ29" s="12"/>
      <c r="EXR29" s="12"/>
      <c r="EXS29" s="12"/>
      <c r="EXT29" s="12"/>
      <c r="EXU29" s="12"/>
      <c r="EXV29" s="12"/>
      <c r="EXW29" s="12"/>
      <c r="EXX29" s="12"/>
      <c r="EXY29" s="12"/>
      <c r="EXZ29" s="12"/>
      <c r="EYA29" s="12"/>
      <c r="EYB29" s="12"/>
      <c r="EYC29" s="12"/>
      <c r="EYD29" s="12"/>
      <c r="EYE29" s="12"/>
      <c r="EYF29" s="12"/>
      <c r="EYG29" s="12"/>
      <c r="EYH29" s="12"/>
      <c r="EYI29" s="12"/>
      <c r="EYJ29" s="12"/>
      <c r="EYK29" s="12"/>
      <c r="EYL29" s="12"/>
      <c r="EYM29" s="12"/>
      <c r="EYN29" s="12"/>
      <c r="EYO29" s="12"/>
      <c r="EYP29" s="12"/>
      <c r="EYQ29" s="12"/>
      <c r="EYR29" s="12"/>
      <c r="EYS29" s="12"/>
      <c r="EYT29" s="12"/>
      <c r="EYU29" s="12"/>
      <c r="EYV29" s="12"/>
      <c r="EYW29" s="12"/>
      <c r="EYX29" s="12"/>
      <c r="EYY29" s="12"/>
      <c r="EYZ29" s="12"/>
      <c r="EZA29" s="12"/>
      <c r="EZB29" s="12"/>
      <c r="EZC29" s="12"/>
      <c r="EZD29" s="12"/>
      <c r="EZE29" s="12"/>
      <c r="EZF29" s="12"/>
      <c r="EZG29" s="12"/>
      <c r="EZH29" s="12"/>
      <c r="EZI29" s="12"/>
      <c r="EZJ29" s="12"/>
      <c r="EZK29" s="12"/>
      <c r="EZL29" s="12"/>
      <c r="EZM29" s="12"/>
      <c r="EZN29" s="12"/>
      <c r="EZO29" s="12"/>
      <c r="EZP29" s="12"/>
      <c r="EZQ29" s="12"/>
      <c r="EZR29" s="12"/>
      <c r="EZS29" s="12"/>
      <c r="EZT29" s="12"/>
      <c r="EZU29" s="12"/>
      <c r="EZV29" s="12"/>
      <c r="EZW29" s="12"/>
      <c r="EZX29" s="12"/>
      <c r="EZY29" s="12"/>
      <c r="EZZ29" s="12"/>
      <c r="FAA29" s="12"/>
      <c r="FAB29" s="12"/>
      <c r="FAC29" s="12"/>
      <c r="FAD29" s="12"/>
      <c r="FAE29" s="12"/>
      <c r="FAF29" s="12"/>
      <c r="FAG29" s="12"/>
      <c r="FAH29" s="12"/>
      <c r="FAI29" s="12"/>
      <c r="FAJ29" s="12"/>
      <c r="FAK29" s="12"/>
      <c r="FAL29" s="12"/>
      <c r="FAM29" s="12"/>
      <c r="FAN29" s="12"/>
      <c r="FAO29" s="12"/>
      <c r="FAP29" s="12"/>
      <c r="FAQ29" s="12"/>
      <c r="FAR29" s="12"/>
      <c r="FAS29" s="12"/>
      <c r="FAT29" s="12"/>
      <c r="FAU29" s="12"/>
      <c r="FAV29" s="12"/>
      <c r="FAW29" s="12"/>
      <c r="FAX29" s="12"/>
      <c r="FAY29" s="12"/>
      <c r="FAZ29" s="12"/>
      <c r="FBA29" s="12"/>
      <c r="FBB29" s="12"/>
      <c r="FBC29" s="12"/>
      <c r="FBD29" s="12"/>
      <c r="FBE29" s="12"/>
      <c r="FBF29" s="12"/>
      <c r="FBG29" s="12"/>
      <c r="FBH29" s="12"/>
      <c r="FBI29" s="12"/>
      <c r="FBJ29" s="12"/>
      <c r="FBK29" s="12"/>
      <c r="FBL29" s="12"/>
      <c r="FBM29" s="12"/>
      <c r="FBN29" s="12"/>
      <c r="FBO29" s="12"/>
      <c r="FBP29" s="12"/>
      <c r="FBQ29" s="12"/>
      <c r="FBR29" s="12"/>
      <c r="FBS29" s="12"/>
      <c r="FBT29" s="12"/>
      <c r="FBU29" s="12"/>
      <c r="FBV29" s="12"/>
      <c r="FBW29" s="12"/>
    </row>
    <row r="30" spans="1:4131" x14ac:dyDescent="0.25">
      <c r="A30" s="78" t="s">
        <v>12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2"/>
      <c r="U30" s="11"/>
      <c r="V30" s="11"/>
      <c r="W30" s="11"/>
      <c r="X30" s="11"/>
    </row>
    <row r="31" spans="1:4131" s="2" customFormat="1" ht="75" customHeight="1" x14ac:dyDescent="0.25">
      <c r="A31" s="33">
        <v>1</v>
      </c>
      <c r="B31" s="40" t="s">
        <v>32</v>
      </c>
      <c r="C31" s="35">
        <v>3252502244</v>
      </c>
      <c r="D31" s="40" t="s">
        <v>95</v>
      </c>
      <c r="E31" s="35" t="s">
        <v>33</v>
      </c>
      <c r="F31" s="35" t="s">
        <v>34</v>
      </c>
      <c r="G31" s="35" t="s">
        <v>35</v>
      </c>
      <c r="H31" s="38">
        <v>11</v>
      </c>
      <c r="I31" s="66">
        <v>9.3699999999999992</v>
      </c>
      <c r="J31" s="39">
        <v>3297.2</v>
      </c>
      <c r="K31" s="17">
        <v>4109.3999999999996</v>
      </c>
      <c r="L31" s="39">
        <v>2709.3</v>
      </c>
      <c r="M31" s="39">
        <v>4944.8</v>
      </c>
      <c r="N31" s="38">
        <v>237.1</v>
      </c>
      <c r="O31" s="38">
        <v>263.2</v>
      </c>
      <c r="P31" s="38">
        <v>188.5</v>
      </c>
      <c r="Q31" s="38">
        <v>240</v>
      </c>
      <c r="R31" s="38">
        <v>355.4</v>
      </c>
      <c r="S31" s="67">
        <v>7.7700000000000005E-2</v>
      </c>
      <c r="T31" s="11"/>
      <c r="U31" s="12"/>
      <c r="V31" s="12"/>
      <c r="W31" s="12"/>
      <c r="X31" s="12"/>
    </row>
    <row r="32" spans="1:4131" s="2" customFormat="1" ht="75" customHeight="1" x14ac:dyDescent="0.25">
      <c r="A32" s="33">
        <v>2</v>
      </c>
      <c r="B32" s="40" t="s">
        <v>36</v>
      </c>
      <c r="C32" s="35"/>
      <c r="D32" s="35" t="s">
        <v>37</v>
      </c>
      <c r="E32" s="35" t="s">
        <v>104</v>
      </c>
      <c r="F32" s="35" t="s">
        <v>51</v>
      </c>
      <c r="G32" s="35" t="s">
        <v>112</v>
      </c>
      <c r="H32" s="38">
        <v>1</v>
      </c>
      <c r="I32" s="38">
        <v>2</v>
      </c>
      <c r="J32" s="39">
        <v>514.5</v>
      </c>
      <c r="K32" s="39">
        <v>449.8</v>
      </c>
      <c r="L32" s="39">
        <v>358</v>
      </c>
      <c r="M32" s="39">
        <v>450</v>
      </c>
      <c r="N32" s="38">
        <v>0</v>
      </c>
      <c r="O32" s="38">
        <v>0</v>
      </c>
      <c r="P32" s="38">
        <v>0</v>
      </c>
      <c r="Q32" s="38">
        <v>0</v>
      </c>
      <c r="R32" s="38">
        <v>1053.2</v>
      </c>
      <c r="S32" s="38">
        <v>0.65</v>
      </c>
      <c r="T32" s="12"/>
      <c r="U32" s="12"/>
      <c r="V32" s="12"/>
      <c r="W32" s="12"/>
      <c r="X32" s="12"/>
    </row>
    <row r="33" spans="1:824" s="2" customFormat="1" ht="75" customHeight="1" x14ac:dyDescent="0.25">
      <c r="A33" s="33">
        <v>3</v>
      </c>
      <c r="B33" s="40" t="s">
        <v>38</v>
      </c>
      <c r="C33" s="35">
        <v>3252004591</v>
      </c>
      <c r="D33" s="40" t="s">
        <v>95</v>
      </c>
      <c r="E33" s="35" t="s">
        <v>39</v>
      </c>
      <c r="F33" s="35" t="s">
        <v>40</v>
      </c>
      <c r="G33" s="35" t="s">
        <v>41</v>
      </c>
      <c r="H33" s="38">
        <v>23.3</v>
      </c>
      <c r="I33" s="38">
        <v>32</v>
      </c>
      <c r="J33" s="39">
        <v>9824.9</v>
      </c>
      <c r="K33" s="39">
        <v>10534.9</v>
      </c>
      <c r="L33" s="39">
        <v>7600.8</v>
      </c>
      <c r="M33" s="39">
        <v>11244.9</v>
      </c>
      <c r="N33" s="38">
        <v>3.5</v>
      </c>
      <c r="O33" s="38">
        <v>4.5</v>
      </c>
      <c r="P33" s="38">
        <v>9</v>
      </c>
      <c r="Q33" s="38">
        <v>4.5</v>
      </c>
      <c r="R33" s="38">
        <v>631.4</v>
      </c>
      <c r="S33" s="68">
        <v>0.112</v>
      </c>
      <c r="T33" s="12"/>
      <c r="U33" s="12"/>
      <c r="V33" s="12"/>
      <c r="W33" s="12"/>
      <c r="X33" s="12"/>
    </row>
    <row r="34" spans="1:824" s="2" customFormat="1" ht="75" customHeight="1" x14ac:dyDescent="0.25">
      <c r="A34" s="33">
        <v>4</v>
      </c>
      <c r="B34" s="40" t="s">
        <v>42</v>
      </c>
      <c r="C34" s="35">
        <v>3252501152</v>
      </c>
      <c r="D34" s="40" t="s">
        <v>95</v>
      </c>
      <c r="E34" s="35" t="s">
        <v>43</v>
      </c>
      <c r="F34" s="35" t="s">
        <v>94</v>
      </c>
      <c r="G34" s="35" t="s">
        <v>44</v>
      </c>
      <c r="H34" s="38">
        <v>9</v>
      </c>
      <c r="I34" s="10">
        <v>8</v>
      </c>
      <c r="J34" s="39">
        <v>5037.3</v>
      </c>
      <c r="K34" s="39">
        <v>3360</v>
      </c>
      <c r="L34" s="39">
        <v>2324</v>
      </c>
      <c r="M34" s="17">
        <v>3360</v>
      </c>
      <c r="N34" s="38">
        <v>0</v>
      </c>
      <c r="O34" s="10">
        <v>2</v>
      </c>
      <c r="P34" s="38">
        <v>2</v>
      </c>
      <c r="Q34" s="10">
        <v>2</v>
      </c>
      <c r="R34" s="38">
        <v>141</v>
      </c>
      <c r="S34" s="65">
        <v>2</v>
      </c>
      <c r="T34" s="12"/>
      <c r="U34" s="12"/>
      <c r="V34" s="12"/>
      <c r="W34" s="12"/>
      <c r="X34" s="12"/>
    </row>
    <row r="35" spans="1:824" s="2" customFormat="1" ht="75" customHeight="1" x14ac:dyDescent="0.25">
      <c r="A35" s="33">
        <v>5</v>
      </c>
      <c r="B35" s="40" t="s">
        <v>45</v>
      </c>
      <c r="C35" s="35">
        <v>3252004489</v>
      </c>
      <c r="D35" s="40" t="s">
        <v>95</v>
      </c>
      <c r="E35" s="35" t="s">
        <v>46</v>
      </c>
      <c r="F35" s="35" t="s">
        <v>47</v>
      </c>
      <c r="G35" s="35" t="s">
        <v>48</v>
      </c>
      <c r="H35" s="38">
        <v>5</v>
      </c>
      <c r="I35" s="38">
        <v>5</v>
      </c>
      <c r="J35" s="39">
        <v>2611</v>
      </c>
      <c r="K35" s="39">
        <v>2663.6</v>
      </c>
      <c r="L35" s="39">
        <v>1866</v>
      </c>
      <c r="M35" s="39">
        <v>2457.3000000000002</v>
      </c>
      <c r="N35" s="38">
        <v>101.7</v>
      </c>
      <c r="O35" s="38">
        <v>200</v>
      </c>
      <c r="P35" s="38">
        <v>85.8</v>
      </c>
      <c r="Q35" s="38">
        <v>200</v>
      </c>
      <c r="R35" s="38">
        <v>0</v>
      </c>
      <c r="S35" s="71">
        <v>6.5500000000000003E-2</v>
      </c>
      <c r="T35" s="12"/>
      <c r="U35" s="12"/>
      <c r="V35" s="12"/>
      <c r="W35" s="12"/>
      <c r="X35" s="12"/>
    </row>
    <row r="36" spans="1:824" s="2" customFormat="1" ht="90" customHeight="1" x14ac:dyDescent="0.25">
      <c r="A36" s="42">
        <v>6</v>
      </c>
      <c r="B36" s="40" t="s">
        <v>49</v>
      </c>
      <c r="C36" s="35">
        <v>3250000318</v>
      </c>
      <c r="D36" s="40" t="s">
        <v>95</v>
      </c>
      <c r="E36" s="35" t="s">
        <v>50</v>
      </c>
      <c r="F36" s="35" t="s">
        <v>51</v>
      </c>
      <c r="G36" s="35" t="s">
        <v>52</v>
      </c>
      <c r="H36" s="38">
        <v>44</v>
      </c>
      <c r="I36" s="10">
        <v>56</v>
      </c>
      <c r="J36" s="38">
        <v>18468.2</v>
      </c>
      <c r="K36" s="10">
        <v>20500.2</v>
      </c>
      <c r="L36" s="38">
        <v>13940.5</v>
      </c>
      <c r="M36" s="10">
        <v>11961.7</v>
      </c>
      <c r="N36" s="38">
        <v>299.64999999999998</v>
      </c>
      <c r="O36" s="10">
        <v>450</v>
      </c>
      <c r="P36" s="38">
        <v>273.39999999999998</v>
      </c>
      <c r="Q36" s="10">
        <v>450</v>
      </c>
      <c r="R36" s="20" t="s">
        <v>230</v>
      </c>
      <c r="S36" s="70" t="s">
        <v>231</v>
      </c>
      <c r="T36" s="12"/>
      <c r="U36" s="12"/>
      <c r="V36" s="12"/>
      <c r="W36" s="12"/>
      <c r="X36" s="12"/>
    </row>
    <row r="37" spans="1:824" s="51" customFormat="1" ht="54.95" customHeight="1" x14ac:dyDescent="0.3">
      <c r="A37" s="44">
        <v>7</v>
      </c>
      <c r="B37" s="74" t="s">
        <v>134</v>
      </c>
      <c r="C37" s="75">
        <v>3223004741</v>
      </c>
      <c r="D37" s="40" t="s">
        <v>95</v>
      </c>
      <c r="E37" s="34" t="s">
        <v>135</v>
      </c>
      <c r="F37" s="52" t="s">
        <v>72</v>
      </c>
      <c r="G37" s="34" t="s">
        <v>136</v>
      </c>
      <c r="H37" s="46"/>
      <c r="I37" s="46"/>
      <c r="J37" s="76">
        <v>4427.3999999999996</v>
      </c>
      <c r="K37" s="46"/>
      <c r="L37" s="46"/>
      <c r="M37" s="46"/>
      <c r="N37" s="46">
        <v>5.4</v>
      </c>
      <c r="O37" s="46"/>
      <c r="P37" s="46">
        <v>0</v>
      </c>
      <c r="Q37" s="46"/>
      <c r="R37" s="76">
        <v>2800</v>
      </c>
      <c r="S37" s="46">
        <v>2.9</v>
      </c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</row>
    <row r="38" spans="1:824" s="51" customFormat="1" ht="54.95" customHeight="1" x14ac:dyDescent="0.3">
      <c r="A38" s="44">
        <v>8</v>
      </c>
      <c r="B38" s="47" t="s">
        <v>137</v>
      </c>
      <c r="C38" s="35">
        <v>3223004276</v>
      </c>
      <c r="D38" s="40" t="s">
        <v>95</v>
      </c>
      <c r="E38" s="35" t="s">
        <v>138</v>
      </c>
      <c r="F38" s="44" t="s">
        <v>72</v>
      </c>
      <c r="G38" s="35" t="s">
        <v>136</v>
      </c>
      <c r="H38" s="48"/>
      <c r="I38" s="48"/>
      <c r="J38" s="48">
        <v>0</v>
      </c>
      <c r="K38" s="48">
        <v>0</v>
      </c>
      <c r="L38" s="48"/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/>
      <c r="S38" s="48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</row>
    <row r="39" spans="1:824" s="51" customFormat="1" ht="54.95" customHeight="1" x14ac:dyDescent="0.3">
      <c r="A39" s="44">
        <v>9</v>
      </c>
      <c r="B39" s="47" t="s">
        <v>139</v>
      </c>
      <c r="C39" s="44">
        <v>3223004780</v>
      </c>
      <c r="D39" s="40" t="s">
        <v>95</v>
      </c>
      <c r="E39" s="35" t="s">
        <v>138</v>
      </c>
      <c r="F39" s="44" t="s">
        <v>72</v>
      </c>
      <c r="G39" s="35" t="s">
        <v>136</v>
      </c>
      <c r="H39" s="38">
        <v>24.8</v>
      </c>
      <c r="I39" s="39">
        <v>24</v>
      </c>
      <c r="J39" s="39">
        <f>8307883.4/1000</f>
        <v>8307.8834000000006</v>
      </c>
      <c r="K39" s="39">
        <v>9131.2000000000007</v>
      </c>
      <c r="L39" s="39">
        <v>8332.7000000000007</v>
      </c>
      <c r="M39" s="38">
        <v>9431.2000000000007</v>
      </c>
      <c r="N39" s="38">
        <f>48324/1000</f>
        <v>48.323999999999998</v>
      </c>
      <c r="O39" s="38">
        <v>96.8</v>
      </c>
      <c r="P39" s="38">
        <v>100.7</v>
      </c>
      <c r="Q39" s="38">
        <v>96.8</v>
      </c>
      <c r="R39" s="38">
        <v>2556.4</v>
      </c>
      <c r="S39" s="38">
        <f>30012/10000</f>
        <v>3.0011999999999999</v>
      </c>
      <c r="T39" s="50"/>
      <c r="U39" s="54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</row>
    <row r="40" spans="1:824" s="51" customFormat="1" ht="54.95" customHeight="1" x14ac:dyDescent="0.3">
      <c r="A40" s="44">
        <v>10</v>
      </c>
      <c r="B40" s="47" t="s">
        <v>140</v>
      </c>
      <c r="C40" s="44">
        <v>3223004678</v>
      </c>
      <c r="D40" s="40" t="s">
        <v>95</v>
      </c>
      <c r="E40" s="35" t="s">
        <v>141</v>
      </c>
      <c r="F40" s="44" t="s">
        <v>72</v>
      </c>
      <c r="G40" s="35" t="s">
        <v>136</v>
      </c>
      <c r="H40" s="38">
        <v>19.100000000000001</v>
      </c>
      <c r="I40" s="39">
        <v>17</v>
      </c>
      <c r="J40" s="39">
        <f>6057192.76/1000</f>
        <v>6057.1927599999999</v>
      </c>
      <c r="K40" s="39">
        <v>6617.3</v>
      </c>
      <c r="L40" s="39">
        <v>5613.5</v>
      </c>
      <c r="M40" s="38">
        <v>6817.3</v>
      </c>
      <c r="N40" s="38">
        <f>49115/1000</f>
        <v>49.115000000000002</v>
      </c>
      <c r="O40" s="38">
        <v>82.4</v>
      </c>
      <c r="P40" s="38">
        <v>93.8</v>
      </c>
      <c r="Q40" s="38">
        <v>82.4</v>
      </c>
      <c r="R40" s="38">
        <v>2547.4</v>
      </c>
      <c r="S40" s="38">
        <f>18267/10000</f>
        <v>1.8267</v>
      </c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</row>
    <row r="41" spans="1:824" s="51" customFormat="1" ht="54.95" customHeight="1" x14ac:dyDescent="0.3">
      <c r="A41" s="44">
        <v>11</v>
      </c>
      <c r="B41" s="55" t="s">
        <v>142</v>
      </c>
      <c r="C41" s="44">
        <v>3223004854</v>
      </c>
      <c r="D41" s="40" t="s">
        <v>95</v>
      </c>
      <c r="E41" s="56" t="s">
        <v>143</v>
      </c>
      <c r="F41" s="57" t="s">
        <v>72</v>
      </c>
      <c r="G41" s="56" t="s">
        <v>136</v>
      </c>
      <c r="H41" s="60">
        <v>21.8</v>
      </c>
      <c r="I41" s="61">
        <v>19</v>
      </c>
      <c r="J41" s="61">
        <f>8223865.86/1000</f>
        <v>8223.8658599999999</v>
      </c>
      <c r="K41" s="61">
        <v>8335.7999999999993</v>
      </c>
      <c r="L41" s="61">
        <v>7727.3</v>
      </c>
      <c r="M41" s="38">
        <v>8535.7999999999993</v>
      </c>
      <c r="N41" s="60">
        <f>103261/1000</f>
        <v>103.261</v>
      </c>
      <c r="O41" s="60">
        <v>200</v>
      </c>
      <c r="P41" s="60">
        <v>30.7</v>
      </c>
      <c r="Q41" s="60">
        <v>200</v>
      </c>
      <c r="R41" s="60">
        <v>1971.3</v>
      </c>
      <c r="S41" s="60">
        <f>15877/10000</f>
        <v>1.5876999999999999</v>
      </c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  <c r="YU41" s="50"/>
      <c r="YV41" s="50"/>
      <c r="YW41" s="50"/>
      <c r="YX41" s="50"/>
      <c r="YY41" s="50"/>
      <c r="YZ41" s="50"/>
      <c r="ZA41" s="50"/>
      <c r="ZB41" s="50"/>
      <c r="ZC41" s="50"/>
      <c r="ZD41" s="50"/>
      <c r="ZE41" s="50"/>
      <c r="ZF41" s="50"/>
      <c r="ZG41" s="50"/>
      <c r="ZH41" s="50"/>
      <c r="ZI41" s="50"/>
      <c r="ZJ41" s="50"/>
      <c r="ZK41" s="50"/>
      <c r="ZL41" s="50"/>
      <c r="ZM41" s="50"/>
      <c r="ZN41" s="50"/>
      <c r="ZO41" s="50"/>
      <c r="ZP41" s="50"/>
      <c r="ZQ41" s="50"/>
      <c r="ZR41" s="50"/>
      <c r="ZS41" s="50"/>
      <c r="ZT41" s="50"/>
      <c r="ZU41" s="50"/>
      <c r="ZV41" s="50"/>
      <c r="ZW41" s="50"/>
      <c r="ZX41" s="50"/>
      <c r="ZY41" s="50"/>
      <c r="ZZ41" s="50"/>
      <c r="AAA41" s="50"/>
      <c r="AAB41" s="50"/>
      <c r="AAC41" s="50"/>
      <c r="AAD41" s="50"/>
      <c r="AAE41" s="50"/>
      <c r="AAF41" s="50"/>
      <c r="AAG41" s="50"/>
      <c r="AAH41" s="50"/>
      <c r="AAI41" s="50"/>
      <c r="AAJ41" s="50"/>
      <c r="AAK41" s="50"/>
      <c r="AAL41" s="50"/>
      <c r="AAM41" s="50"/>
      <c r="AAN41" s="50"/>
      <c r="AAO41" s="50"/>
      <c r="AAP41" s="50"/>
      <c r="AAQ41" s="50"/>
      <c r="AAR41" s="50"/>
      <c r="AAS41" s="50"/>
      <c r="AAT41" s="50"/>
      <c r="AAU41" s="50"/>
      <c r="AAV41" s="50"/>
      <c r="AAW41" s="50"/>
      <c r="AAX41" s="50"/>
      <c r="AAY41" s="50"/>
      <c r="AAZ41" s="50"/>
      <c r="ABA41" s="50"/>
      <c r="ABB41" s="50"/>
      <c r="ABC41" s="50"/>
      <c r="ABD41" s="50"/>
      <c r="ABE41" s="50"/>
      <c r="ABF41" s="50"/>
      <c r="ABG41" s="50"/>
      <c r="ABH41" s="50"/>
      <c r="ABI41" s="50"/>
      <c r="ABJ41" s="50"/>
      <c r="ABK41" s="50"/>
      <c r="ABL41" s="50"/>
      <c r="ABM41" s="50"/>
      <c r="ABN41" s="50"/>
      <c r="ABO41" s="50"/>
      <c r="ABP41" s="50"/>
      <c r="ABQ41" s="50"/>
      <c r="ABR41" s="50"/>
      <c r="ABS41" s="50"/>
      <c r="ABT41" s="50"/>
      <c r="ABU41" s="50"/>
      <c r="ABV41" s="50"/>
      <c r="ABW41" s="50"/>
      <c r="ABX41" s="50"/>
      <c r="ABY41" s="50"/>
      <c r="ABZ41" s="50"/>
      <c r="ACA41" s="50"/>
      <c r="ACB41" s="50"/>
      <c r="ACC41" s="50"/>
      <c r="ACD41" s="50"/>
      <c r="ACE41" s="50"/>
      <c r="ACF41" s="50"/>
      <c r="ACG41" s="50"/>
      <c r="ACH41" s="50"/>
      <c r="ACI41" s="50"/>
      <c r="ACJ41" s="50"/>
      <c r="ACK41" s="50"/>
      <c r="ACL41" s="50"/>
      <c r="ACM41" s="50"/>
      <c r="ACN41" s="50"/>
      <c r="ACO41" s="50"/>
      <c r="ACP41" s="50"/>
      <c r="ACQ41" s="50"/>
      <c r="ACR41" s="50"/>
      <c r="ACS41" s="50"/>
      <c r="ACT41" s="50"/>
      <c r="ACU41" s="50"/>
      <c r="ACV41" s="50"/>
      <c r="ACW41" s="50"/>
      <c r="ACX41" s="50"/>
      <c r="ACY41" s="50"/>
      <c r="ACZ41" s="50"/>
      <c r="ADA41" s="50"/>
      <c r="ADB41" s="50"/>
      <c r="ADC41" s="50"/>
      <c r="ADD41" s="50"/>
      <c r="ADE41" s="50"/>
      <c r="ADF41" s="50"/>
      <c r="ADG41" s="50"/>
      <c r="ADH41" s="50"/>
      <c r="ADI41" s="50"/>
      <c r="ADJ41" s="50"/>
      <c r="ADK41" s="50"/>
      <c r="ADL41" s="50"/>
      <c r="ADM41" s="50"/>
      <c r="ADN41" s="50"/>
      <c r="ADO41" s="50"/>
      <c r="ADP41" s="50"/>
      <c r="ADQ41" s="50"/>
      <c r="ADR41" s="50"/>
      <c r="ADS41" s="50"/>
      <c r="ADT41" s="50"/>
      <c r="ADU41" s="50"/>
      <c r="ADV41" s="50"/>
      <c r="ADW41" s="50"/>
      <c r="ADX41" s="50"/>
      <c r="ADY41" s="50"/>
      <c r="ADZ41" s="50"/>
      <c r="AEA41" s="50"/>
      <c r="AEB41" s="50"/>
      <c r="AEC41" s="50"/>
      <c r="AED41" s="50"/>
      <c r="AEE41" s="50"/>
      <c r="AEF41" s="50"/>
      <c r="AEG41" s="50"/>
      <c r="AEH41" s="50"/>
      <c r="AEI41" s="50"/>
      <c r="AEJ41" s="50"/>
      <c r="AEK41" s="50"/>
      <c r="AEL41" s="50"/>
      <c r="AEM41" s="50"/>
      <c r="AEN41" s="50"/>
      <c r="AEO41" s="50"/>
      <c r="AEP41" s="50"/>
      <c r="AEQ41" s="50"/>
      <c r="AER41" s="50"/>
    </row>
    <row r="42" spans="1:824" s="51" customFormat="1" ht="54.95" customHeight="1" x14ac:dyDescent="0.3">
      <c r="A42" s="44">
        <v>12</v>
      </c>
      <c r="B42" s="47" t="s">
        <v>144</v>
      </c>
      <c r="C42" s="44">
        <v>3223004759</v>
      </c>
      <c r="D42" s="40" t="s">
        <v>95</v>
      </c>
      <c r="E42" s="35" t="s">
        <v>145</v>
      </c>
      <c r="F42" s="44" t="s">
        <v>72</v>
      </c>
      <c r="G42" s="35" t="s">
        <v>136</v>
      </c>
      <c r="H42" s="38">
        <v>24.6</v>
      </c>
      <c r="I42" s="39">
        <v>21</v>
      </c>
      <c r="J42" s="39">
        <f>8906178.78/1000</f>
        <v>8906.1787800000002</v>
      </c>
      <c r="K42" s="39">
        <v>11352.1</v>
      </c>
      <c r="L42" s="39">
        <v>8557</v>
      </c>
      <c r="M42" s="38">
        <v>11552.1</v>
      </c>
      <c r="N42" s="38">
        <f>224552/1000</f>
        <v>224.55199999999999</v>
      </c>
      <c r="O42" s="38">
        <v>270</v>
      </c>
      <c r="P42" s="38"/>
      <c r="Q42" s="38">
        <v>270</v>
      </c>
      <c r="R42" s="38">
        <v>1898.4</v>
      </c>
      <c r="S42" s="38">
        <f>19612/10000</f>
        <v>1.9612000000000001</v>
      </c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</row>
    <row r="43" spans="1:824" s="51" customFormat="1" ht="54.95" hidden="1" customHeight="1" x14ac:dyDescent="0.3">
      <c r="A43" s="44">
        <v>13</v>
      </c>
      <c r="B43" s="47" t="s">
        <v>146</v>
      </c>
      <c r="C43" s="44">
        <v>3223004318</v>
      </c>
      <c r="D43" s="40" t="s">
        <v>95</v>
      </c>
      <c r="E43" s="35" t="s">
        <v>147</v>
      </c>
      <c r="F43" s="44" t="s">
        <v>74</v>
      </c>
      <c r="G43" s="35" t="s">
        <v>148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</row>
    <row r="44" spans="1:824" s="51" customFormat="1" ht="54.95" customHeight="1" x14ac:dyDescent="0.3">
      <c r="A44" s="44">
        <v>14</v>
      </c>
      <c r="B44" s="47" t="s">
        <v>149</v>
      </c>
      <c r="C44" s="44">
        <v>3223004460</v>
      </c>
      <c r="D44" s="40" t="s">
        <v>95</v>
      </c>
      <c r="E44" s="35" t="s">
        <v>150</v>
      </c>
      <c r="F44" s="44" t="s">
        <v>72</v>
      </c>
      <c r="G44" s="35" t="s">
        <v>136</v>
      </c>
      <c r="H44" s="38">
        <v>23.8</v>
      </c>
      <c r="I44" s="39">
        <v>24</v>
      </c>
      <c r="J44" s="39">
        <f>8142569.13/1000</f>
        <v>8142.5691299999999</v>
      </c>
      <c r="K44" s="39">
        <v>9998.5</v>
      </c>
      <c r="L44" s="39">
        <v>9512.7000000000007</v>
      </c>
      <c r="M44" s="38">
        <v>9998.5</v>
      </c>
      <c r="N44" s="38">
        <f>102660.31/1000</f>
        <v>102.66031</v>
      </c>
      <c r="O44" s="38">
        <v>180.4</v>
      </c>
      <c r="P44" s="38">
        <v>161.19999999999999</v>
      </c>
      <c r="Q44" s="38">
        <v>180.4</v>
      </c>
      <c r="R44" s="20" t="s">
        <v>232</v>
      </c>
      <c r="S44" s="38">
        <f>23298/10000</f>
        <v>2.3298000000000001</v>
      </c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</row>
    <row r="45" spans="1:824" s="51" customFormat="1" ht="54.95" customHeight="1" x14ac:dyDescent="0.3">
      <c r="A45" s="44">
        <v>15</v>
      </c>
      <c r="B45" s="47" t="s">
        <v>151</v>
      </c>
      <c r="C45" s="44">
        <v>3223004822</v>
      </c>
      <c r="D45" s="40" t="s">
        <v>95</v>
      </c>
      <c r="E45" s="35" t="s">
        <v>152</v>
      </c>
      <c r="F45" s="44" t="s">
        <v>72</v>
      </c>
      <c r="G45" s="35" t="s">
        <v>136</v>
      </c>
      <c r="H45" s="38">
        <v>22.9</v>
      </c>
      <c r="I45" s="39">
        <v>23</v>
      </c>
      <c r="J45" s="39">
        <f>8582182.14/1000</f>
        <v>8582.1821400000008</v>
      </c>
      <c r="K45" s="39">
        <v>9256.4</v>
      </c>
      <c r="L45" s="39">
        <v>8774.6</v>
      </c>
      <c r="M45" s="38">
        <v>9556.4</v>
      </c>
      <c r="N45" s="38">
        <f>145961/1000</f>
        <v>145.96100000000001</v>
      </c>
      <c r="O45" s="38">
        <v>210</v>
      </c>
      <c r="P45" s="38">
        <v>182</v>
      </c>
      <c r="Q45" s="38">
        <v>210</v>
      </c>
      <c r="R45" s="38">
        <v>2571.3000000000002</v>
      </c>
      <c r="S45" s="38">
        <f>22276/10000</f>
        <v>2.2275999999999998</v>
      </c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</row>
    <row r="46" spans="1:824" s="51" customFormat="1" ht="54.95" customHeight="1" x14ac:dyDescent="0.3">
      <c r="A46" s="44">
        <v>16</v>
      </c>
      <c r="B46" s="47" t="s">
        <v>153</v>
      </c>
      <c r="C46" s="44">
        <v>3223004244</v>
      </c>
      <c r="D46" s="40" t="s">
        <v>95</v>
      </c>
      <c r="E46" s="35" t="s">
        <v>154</v>
      </c>
      <c r="F46" s="44" t="s">
        <v>72</v>
      </c>
      <c r="G46" s="35" t="s">
        <v>136</v>
      </c>
      <c r="H46" s="38">
        <v>31.2</v>
      </c>
      <c r="I46" s="39">
        <v>23</v>
      </c>
      <c r="J46" s="39">
        <f>10344858.13/1000</f>
        <v>10344.858130000001</v>
      </c>
      <c r="K46" s="39">
        <v>10451.200000000001</v>
      </c>
      <c r="L46" s="39">
        <v>10459.4</v>
      </c>
      <c r="M46" s="38">
        <v>10651.2</v>
      </c>
      <c r="N46" s="38">
        <f>253173/1000</f>
        <v>253.173</v>
      </c>
      <c r="O46" s="38">
        <v>257.60000000000002</v>
      </c>
      <c r="P46" s="38">
        <v>196.8</v>
      </c>
      <c r="Q46" s="38">
        <v>257.60000000000002</v>
      </c>
      <c r="R46" s="38">
        <v>2674.9</v>
      </c>
      <c r="S46" s="38">
        <f>24947/10000</f>
        <v>2.4946999999999999</v>
      </c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</row>
    <row r="47" spans="1:824" s="51" customFormat="1" ht="54.95" customHeight="1" x14ac:dyDescent="0.3">
      <c r="A47" s="44">
        <v>17</v>
      </c>
      <c r="B47" s="47" t="s">
        <v>155</v>
      </c>
      <c r="C47" s="44">
        <v>3223004438</v>
      </c>
      <c r="D47" s="40" t="s">
        <v>95</v>
      </c>
      <c r="E47" s="35" t="s">
        <v>156</v>
      </c>
      <c r="F47" s="44" t="s">
        <v>73</v>
      </c>
      <c r="G47" s="35" t="s">
        <v>157</v>
      </c>
      <c r="H47" s="38">
        <v>12.6</v>
      </c>
      <c r="I47" s="39">
        <v>14</v>
      </c>
      <c r="J47" s="39">
        <f>3948067/1000</f>
        <v>3948.067</v>
      </c>
      <c r="K47" s="39">
        <v>4004.5</v>
      </c>
      <c r="L47" s="39">
        <v>3620.6</v>
      </c>
      <c r="M47" s="38">
        <v>4204.5</v>
      </c>
      <c r="N47" s="38">
        <f>46554.75/1000</f>
        <v>46.554749999999999</v>
      </c>
      <c r="O47" s="38">
        <v>48</v>
      </c>
      <c r="P47" s="38">
        <v>16.399999999999999</v>
      </c>
      <c r="Q47" s="38">
        <v>48</v>
      </c>
      <c r="R47" s="38">
        <v>1038.5999999999999</v>
      </c>
      <c r="S47" s="38">
        <f>20236/10000</f>
        <v>2.0236000000000001</v>
      </c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  <c r="VQ47" s="50"/>
      <c r="VR47" s="50"/>
      <c r="VS47" s="50"/>
      <c r="VT47" s="50"/>
      <c r="VU47" s="50"/>
      <c r="VV47" s="50"/>
      <c r="VW47" s="50"/>
      <c r="VX47" s="50"/>
      <c r="VY47" s="50"/>
      <c r="VZ47" s="50"/>
      <c r="WA47" s="50"/>
      <c r="WB47" s="50"/>
      <c r="WC47" s="50"/>
      <c r="WD47" s="50"/>
      <c r="WE47" s="50"/>
      <c r="WF47" s="50"/>
      <c r="WG47" s="50"/>
      <c r="WH47" s="50"/>
      <c r="WI47" s="50"/>
      <c r="WJ47" s="50"/>
      <c r="WK47" s="50"/>
      <c r="WL47" s="50"/>
      <c r="WM47" s="50"/>
      <c r="WN47" s="50"/>
      <c r="WO47" s="50"/>
      <c r="WP47" s="50"/>
      <c r="WQ47" s="50"/>
      <c r="WR47" s="50"/>
      <c r="WS47" s="50"/>
      <c r="WT47" s="50"/>
      <c r="WU47" s="50"/>
      <c r="WV47" s="50"/>
      <c r="WW47" s="50"/>
      <c r="WX47" s="50"/>
      <c r="WY47" s="50"/>
      <c r="WZ47" s="50"/>
      <c r="XA47" s="50"/>
      <c r="XB47" s="50"/>
      <c r="XC47" s="50"/>
      <c r="XD47" s="50"/>
      <c r="XE47" s="50"/>
      <c r="XF47" s="50"/>
      <c r="XG47" s="50"/>
      <c r="XH47" s="50"/>
      <c r="XI47" s="50"/>
      <c r="XJ47" s="50"/>
      <c r="XK47" s="50"/>
      <c r="XL47" s="50"/>
      <c r="XM47" s="50"/>
      <c r="XN47" s="50"/>
      <c r="XO47" s="50"/>
      <c r="XP47" s="50"/>
      <c r="XQ47" s="50"/>
      <c r="XR47" s="50"/>
      <c r="XS47" s="50"/>
      <c r="XT47" s="50"/>
      <c r="XU47" s="50"/>
      <c r="XV47" s="50"/>
      <c r="XW47" s="50"/>
      <c r="XX47" s="50"/>
      <c r="XY47" s="50"/>
      <c r="XZ47" s="50"/>
      <c r="YA47" s="50"/>
      <c r="YB47" s="50"/>
      <c r="YC47" s="50"/>
      <c r="YD47" s="50"/>
      <c r="YE47" s="50"/>
      <c r="YF47" s="50"/>
      <c r="YG47" s="50"/>
      <c r="YH47" s="50"/>
      <c r="YI47" s="50"/>
      <c r="YJ47" s="50"/>
      <c r="YK47" s="50"/>
      <c r="YL47" s="50"/>
      <c r="YM47" s="50"/>
      <c r="YN47" s="50"/>
      <c r="YO47" s="50"/>
      <c r="YP47" s="50"/>
      <c r="YQ47" s="50"/>
      <c r="YR47" s="50"/>
      <c r="YS47" s="50"/>
      <c r="YT47" s="50"/>
      <c r="YU47" s="50"/>
      <c r="YV47" s="50"/>
      <c r="YW47" s="50"/>
      <c r="YX47" s="50"/>
      <c r="YY47" s="50"/>
      <c r="YZ47" s="50"/>
      <c r="ZA47" s="50"/>
      <c r="ZB47" s="50"/>
      <c r="ZC47" s="50"/>
      <c r="ZD47" s="50"/>
      <c r="ZE47" s="50"/>
      <c r="ZF47" s="50"/>
      <c r="ZG47" s="50"/>
      <c r="ZH47" s="50"/>
      <c r="ZI47" s="50"/>
      <c r="ZJ47" s="50"/>
      <c r="ZK47" s="50"/>
      <c r="ZL47" s="50"/>
      <c r="ZM47" s="50"/>
      <c r="ZN47" s="50"/>
      <c r="ZO47" s="50"/>
      <c r="ZP47" s="50"/>
      <c r="ZQ47" s="50"/>
      <c r="ZR47" s="50"/>
      <c r="ZS47" s="50"/>
      <c r="ZT47" s="50"/>
      <c r="ZU47" s="50"/>
      <c r="ZV47" s="50"/>
      <c r="ZW47" s="50"/>
      <c r="ZX47" s="50"/>
      <c r="ZY47" s="50"/>
      <c r="ZZ47" s="50"/>
      <c r="AAA47" s="50"/>
      <c r="AAB47" s="50"/>
      <c r="AAC47" s="50"/>
      <c r="AAD47" s="50"/>
      <c r="AAE47" s="50"/>
      <c r="AAF47" s="50"/>
      <c r="AAG47" s="50"/>
      <c r="AAH47" s="50"/>
      <c r="AAI47" s="50"/>
      <c r="AAJ47" s="50"/>
      <c r="AAK47" s="50"/>
      <c r="AAL47" s="50"/>
      <c r="AAM47" s="50"/>
      <c r="AAN47" s="50"/>
      <c r="AAO47" s="50"/>
      <c r="AAP47" s="50"/>
      <c r="AAQ47" s="50"/>
      <c r="AAR47" s="50"/>
      <c r="AAS47" s="50"/>
      <c r="AAT47" s="50"/>
      <c r="AAU47" s="50"/>
      <c r="AAV47" s="50"/>
      <c r="AAW47" s="50"/>
      <c r="AAX47" s="50"/>
      <c r="AAY47" s="50"/>
      <c r="AAZ47" s="50"/>
      <c r="ABA47" s="50"/>
      <c r="ABB47" s="50"/>
      <c r="ABC47" s="50"/>
      <c r="ABD47" s="50"/>
      <c r="ABE47" s="50"/>
      <c r="ABF47" s="50"/>
      <c r="ABG47" s="50"/>
      <c r="ABH47" s="50"/>
      <c r="ABI47" s="50"/>
      <c r="ABJ47" s="50"/>
      <c r="ABK47" s="50"/>
      <c r="ABL47" s="50"/>
      <c r="ABM47" s="50"/>
      <c r="ABN47" s="50"/>
      <c r="ABO47" s="50"/>
      <c r="ABP47" s="50"/>
      <c r="ABQ47" s="50"/>
      <c r="ABR47" s="50"/>
      <c r="ABS47" s="50"/>
      <c r="ABT47" s="50"/>
      <c r="ABU47" s="50"/>
      <c r="ABV47" s="50"/>
      <c r="ABW47" s="50"/>
      <c r="ABX47" s="50"/>
      <c r="ABY47" s="50"/>
      <c r="ABZ47" s="50"/>
      <c r="ACA47" s="50"/>
      <c r="ACB47" s="50"/>
      <c r="ACC47" s="50"/>
      <c r="ACD47" s="50"/>
      <c r="ACE47" s="50"/>
      <c r="ACF47" s="50"/>
      <c r="ACG47" s="50"/>
      <c r="ACH47" s="50"/>
      <c r="ACI47" s="50"/>
      <c r="ACJ47" s="50"/>
      <c r="ACK47" s="50"/>
      <c r="ACL47" s="50"/>
      <c r="ACM47" s="50"/>
      <c r="ACN47" s="50"/>
      <c r="ACO47" s="50"/>
      <c r="ACP47" s="50"/>
      <c r="ACQ47" s="50"/>
      <c r="ACR47" s="50"/>
      <c r="ACS47" s="50"/>
      <c r="ACT47" s="50"/>
      <c r="ACU47" s="50"/>
      <c r="ACV47" s="50"/>
      <c r="ACW47" s="50"/>
      <c r="ACX47" s="50"/>
      <c r="ACY47" s="50"/>
      <c r="ACZ47" s="50"/>
      <c r="ADA47" s="50"/>
      <c r="ADB47" s="50"/>
      <c r="ADC47" s="50"/>
      <c r="ADD47" s="50"/>
      <c r="ADE47" s="50"/>
      <c r="ADF47" s="50"/>
      <c r="ADG47" s="50"/>
      <c r="ADH47" s="50"/>
      <c r="ADI47" s="50"/>
      <c r="ADJ47" s="50"/>
      <c r="ADK47" s="50"/>
      <c r="ADL47" s="50"/>
      <c r="ADM47" s="50"/>
      <c r="ADN47" s="50"/>
      <c r="ADO47" s="50"/>
      <c r="ADP47" s="50"/>
      <c r="ADQ47" s="50"/>
      <c r="ADR47" s="50"/>
      <c r="ADS47" s="50"/>
      <c r="ADT47" s="50"/>
      <c r="ADU47" s="50"/>
      <c r="ADV47" s="50"/>
      <c r="ADW47" s="50"/>
      <c r="ADX47" s="50"/>
      <c r="ADY47" s="50"/>
      <c r="ADZ47" s="50"/>
      <c r="AEA47" s="50"/>
      <c r="AEB47" s="50"/>
      <c r="AEC47" s="50"/>
      <c r="AED47" s="50"/>
      <c r="AEE47" s="50"/>
      <c r="AEF47" s="50"/>
      <c r="AEG47" s="50"/>
      <c r="AEH47" s="50"/>
      <c r="AEI47" s="50"/>
      <c r="AEJ47" s="50"/>
      <c r="AEK47" s="50"/>
      <c r="AEL47" s="50"/>
      <c r="AEM47" s="50"/>
      <c r="AEN47" s="50"/>
      <c r="AEO47" s="50"/>
      <c r="AEP47" s="50"/>
      <c r="AEQ47" s="50"/>
      <c r="AER47" s="50"/>
    </row>
    <row r="48" spans="1:824" s="51" customFormat="1" ht="54.95" customHeight="1" x14ac:dyDescent="0.3">
      <c r="A48" s="44">
        <v>18</v>
      </c>
      <c r="B48" s="47" t="s">
        <v>158</v>
      </c>
      <c r="C48" s="44">
        <v>3223004290</v>
      </c>
      <c r="D48" s="40" t="s">
        <v>95</v>
      </c>
      <c r="E48" s="35" t="s">
        <v>159</v>
      </c>
      <c r="F48" s="44" t="s">
        <v>73</v>
      </c>
      <c r="G48" s="35" t="s">
        <v>157</v>
      </c>
      <c r="H48" s="38"/>
      <c r="I48" s="39"/>
      <c r="J48" s="39">
        <v>4533.3</v>
      </c>
      <c r="K48" s="39">
        <v>4533.3</v>
      </c>
      <c r="L48" s="39">
        <v>0</v>
      </c>
      <c r="M48" s="38">
        <v>4733.3</v>
      </c>
      <c r="N48" s="38">
        <v>0</v>
      </c>
      <c r="O48" s="38">
        <v>0</v>
      </c>
      <c r="P48" s="38">
        <v>0</v>
      </c>
      <c r="Q48" s="38">
        <v>0</v>
      </c>
      <c r="R48" s="38">
        <v>940.7</v>
      </c>
      <c r="S48" s="38">
        <v>1.5</v>
      </c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</row>
    <row r="49" spans="1:824" s="51" customFormat="1" ht="54.95" customHeight="1" x14ac:dyDescent="0.3">
      <c r="A49" s="44">
        <v>19</v>
      </c>
      <c r="B49" s="47" t="s">
        <v>160</v>
      </c>
      <c r="C49" s="44">
        <v>3223004371</v>
      </c>
      <c r="D49" s="40" t="s">
        <v>95</v>
      </c>
      <c r="E49" s="35" t="s">
        <v>161</v>
      </c>
      <c r="F49" s="44" t="s">
        <v>72</v>
      </c>
      <c r="G49" s="35" t="s">
        <v>136</v>
      </c>
      <c r="H49" s="38">
        <v>21.1</v>
      </c>
      <c r="I49" s="39">
        <v>18</v>
      </c>
      <c r="J49" s="39">
        <f>7548445.72/1000</f>
        <v>7548.4457199999997</v>
      </c>
      <c r="K49" s="39">
        <v>8232.9</v>
      </c>
      <c r="L49" s="39">
        <v>7057.3</v>
      </c>
      <c r="M49" s="38">
        <v>8532.9</v>
      </c>
      <c r="N49" s="38">
        <f>114738/1000</f>
        <v>114.738</v>
      </c>
      <c r="O49" s="38">
        <v>145</v>
      </c>
      <c r="P49" s="38">
        <v>165.3</v>
      </c>
      <c r="Q49" s="38">
        <v>145</v>
      </c>
      <c r="R49" s="38">
        <v>2668.5</v>
      </c>
      <c r="S49" s="38">
        <f>11878/10000</f>
        <v>1.1878</v>
      </c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</row>
    <row r="50" spans="1:824" s="51" customFormat="1" ht="54.95" customHeight="1" x14ac:dyDescent="0.3">
      <c r="A50" s="44">
        <v>20</v>
      </c>
      <c r="B50" s="47" t="s">
        <v>162</v>
      </c>
      <c r="C50" s="44">
        <v>3223004325</v>
      </c>
      <c r="D50" s="40" t="s">
        <v>95</v>
      </c>
      <c r="E50" s="35" t="s">
        <v>163</v>
      </c>
      <c r="F50" s="44" t="s">
        <v>73</v>
      </c>
      <c r="G50" s="35" t="s">
        <v>157</v>
      </c>
      <c r="H50" s="38">
        <v>22.8</v>
      </c>
      <c r="I50" s="39">
        <v>20</v>
      </c>
      <c r="J50" s="39">
        <v>7252.4</v>
      </c>
      <c r="K50" s="39">
        <v>7376.4</v>
      </c>
      <c r="L50" s="39">
        <v>6509.6</v>
      </c>
      <c r="M50" s="38">
        <v>7576.4</v>
      </c>
      <c r="N50" s="38">
        <f>85116/1000</f>
        <v>85.116</v>
      </c>
      <c r="O50" s="38">
        <v>150</v>
      </c>
      <c r="P50" s="38">
        <v>59.4</v>
      </c>
      <c r="Q50" s="38">
        <v>150</v>
      </c>
      <c r="R50" s="38">
        <v>500</v>
      </c>
      <c r="S50" s="38">
        <f>10678/10000</f>
        <v>1.0678000000000001</v>
      </c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</row>
    <row r="51" spans="1:824" s="51" customFormat="1" ht="54.95" customHeight="1" x14ac:dyDescent="0.3">
      <c r="A51" s="44">
        <v>21</v>
      </c>
      <c r="B51" s="47" t="s">
        <v>164</v>
      </c>
      <c r="C51" s="44">
        <v>3223004332</v>
      </c>
      <c r="D51" s="40" t="s">
        <v>95</v>
      </c>
      <c r="E51" s="35" t="s">
        <v>165</v>
      </c>
      <c r="F51" s="44" t="s">
        <v>72</v>
      </c>
      <c r="G51" s="35" t="s">
        <v>136</v>
      </c>
      <c r="H51" s="38">
        <v>24.1</v>
      </c>
      <c r="I51" s="39">
        <v>23</v>
      </c>
      <c r="J51" s="39">
        <f>8628226.8/1000</f>
        <v>8628.2268000000004</v>
      </c>
      <c r="K51" s="39">
        <v>9523.7999999999993</v>
      </c>
      <c r="L51" s="39">
        <v>10364.700000000001</v>
      </c>
      <c r="M51" s="38">
        <v>9723.7999999999993</v>
      </c>
      <c r="N51" s="38">
        <f>42074/1000</f>
        <v>42.073999999999998</v>
      </c>
      <c r="O51" s="38">
        <v>57</v>
      </c>
      <c r="P51" s="38">
        <v>50.3</v>
      </c>
      <c r="Q51" s="38">
        <v>57</v>
      </c>
      <c r="R51" s="38">
        <v>2802.7</v>
      </c>
      <c r="S51" s="38">
        <f>29328/10000</f>
        <v>2.9327999999999999</v>
      </c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</row>
    <row r="52" spans="1:824" s="51" customFormat="1" ht="54.95" customHeight="1" x14ac:dyDescent="0.3">
      <c r="A52" s="44">
        <v>22</v>
      </c>
      <c r="B52" s="47" t="s">
        <v>166</v>
      </c>
      <c r="C52" s="44">
        <v>3223004283</v>
      </c>
      <c r="D52" s="40" t="s">
        <v>95</v>
      </c>
      <c r="E52" s="35" t="s">
        <v>167</v>
      </c>
      <c r="F52" s="44" t="s">
        <v>73</v>
      </c>
      <c r="G52" s="35" t="s">
        <v>157</v>
      </c>
      <c r="H52" s="38">
        <v>14.6</v>
      </c>
      <c r="I52" s="39">
        <v>14</v>
      </c>
      <c r="J52" s="39">
        <f>4455141.96/1000</f>
        <v>4455.1419599999999</v>
      </c>
      <c r="K52" s="39">
        <v>4851.2</v>
      </c>
      <c r="L52" s="39">
        <v>4542.8999999999996</v>
      </c>
      <c r="M52" s="38">
        <v>5051.2</v>
      </c>
      <c r="N52" s="38">
        <f>12372.88/1000</f>
        <v>12.372879999999999</v>
      </c>
      <c r="O52" s="38">
        <v>90</v>
      </c>
      <c r="P52" s="38">
        <v>40.6</v>
      </c>
      <c r="Q52" s="38">
        <v>90</v>
      </c>
      <c r="R52" s="38">
        <v>941.6</v>
      </c>
      <c r="S52" s="38">
        <f>9320/10000</f>
        <v>0.93200000000000005</v>
      </c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</row>
    <row r="53" spans="1:824" s="51" customFormat="1" ht="54.95" customHeight="1" x14ac:dyDescent="0.3">
      <c r="A53" s="44">
        <v>23</v>
      </c>
      <c r="B53" s="55" t="s">
        <v>168</v>
      </c>
      <c r="C53" s="44">
        <v>3223004607</v>
      </c>
      <c r="D53" s="40" t="s">
        <v>95</v>
      </c>
      <c r="E53" s="56" t="s">
        <v>169</v>
      </c>
      <c r="F53" s="57" t="s">
        <v>73</v>
      </c>
      <c r="G53" s="56" t="s">
        <v>157</v>
      </c>
      <c r="H53" s="60">
        <v>18.649999999999999</v>
      </c>
      <c r="I53" s="61">
        <v>17</v>
      </c>
      <c r="J53" s="61">
        <f>6138924.16/1000</f>
        <v>6138.9241600000005</v>
      </c>
      <c r="K53" s="61">
        <v>6757.2</v>
      </c>
      <c r="L53" s="61">
        <v>6312.7</v>
      </c>
      <c r="M53" s="38">
        <v>6957.2</v>
      </c>
      <c r="N53" s="60">
        <f>76251/1000</f>
        <v>76.251000000000005</v>
      </c>
      <c r="O53" s="60">
        <v>85</v>
      </c>
      <c r="P53" s="60">
        <v>42</v>
      </c>
      <c r="Q53" s="60">
        <v>85</v>
      </c>
      <c r="R53" s="60">
        <v>1282</v>
      </c>
      <c r="S53" s="60">
        <f>9226/10000</f>
        <v>0.92259999999999998</v>
      </c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</row>
    <row r="54" spans="1:824" s="51" customFormat="1" ht="54.95" customHeight="1" x14ac:dyDescent="0.3">
      <c r="A54" s="44">
        <v>24</v>
      </c>
      <c r="B54" s="47" t="s">
        <v>170</v>
      </c>
      <c r="C54" s="44">
        <v>3223004903</v>
      </c>
      <c r="D54" s="40" t="s">
        <v>95</v>
      </c>
      <c r="E54" s="35" t="s">
        <v>171</v>
      </c>
      <c r="F54" s="44" t="s">
        <v>72</v>
      </c>
      <c r="G54" s="35" t="s">
        <v>136</v>
      </c>
      <c r="H54" s="38">
        <v>57.4</v>
      </c>
      <c r="I54" s="39">
        <v>63</v>
      </c>
      <c r="J54" s="39">
        <f>26034265.78/1000</f>
        <v>26034.265780000002</v>
      </c>
      <c r="K54" s="39">
        <v>27134.2</v>
      </c>
      <c r="L54" s="39">
        <v>26671.3</v>
      </c>
      <c r="M54" s="38">
        <v>27334.2</v>
      </c>
      <c r="N54" s="38">
        <f>(67500+40980+66011.4)/1000</f>
        <v>174.4914</v>
      </c>
      <c r="O54" s="38">
        <v>174.5</v>
      </c>
      <c r="P54" s="38">
        <v>49</v>
      </c>
      <c r="Q54" s="38">
        <v>0</v>
      </c>
      <c r="R54" s="38">
        <v>3288.7</v>
      </c>
      <c r="S54" s="38">
        <f>29748/10000</f>
        <v>2.9748000000000001</v>
      </c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0"/>
      <c r="SK54" s="50"/>
      <c r="SL54" s="50"/>
      <c r="SM54" s="50"/>
      <c r="SN54" s="50"/>
      <c r="SO54" s="50"/>
      <c r="SP54" s="50"/>
      <c r="SQ54" s="50"/>
      <c r="SR54" s="50"/>
      <c r="SS54" s="50"/>
      <c r="ST54" s="50"/>
      <c r="SU54" s="50"/>
      <c r="SV54" s="50"/>
      <c r="SW54" s="50"/>
      <c r="SX54" s="50"/>
      <c r="SY54" s="50"/>
      <c r="SZ54" s="50"/>
      <c r="TA54" s="50"/>
      <c r="TB54" s="50"/>
      <c r="TC54" s="50"/>
      <c r="TD54" s="50"/>
      <c r="TE54" s="50"/>
      <c r="TF54" s="50"/>
      <c r="TG54" s="50"/>
      <c r="TH54" s="50"/>
      <c r="TI54" s="50"/>
      <c r="TJ54" s="50"/>
      <c r="TK54" s="50"/>
      <c r="TL54" s="50"/>
      <c r="TM54" s="50"/>
      <c r="TN54" s="50"/>
      <c r="TO54" s="50"/>
      <c r="TP54" s="50"/>
      <c r="TQ54" s="50"/>
      <c r="TR54" s="50"/>
      <c r="TS54" s="50"/>
      <c r="TT54" s="50"/>
      <c r="TU54" s="50"/>
      <c r="TV54" s="50"/>
      <c r="TW54" s="50"/>
      <c r="TX54" s="50"/>
      <c r="TY54" s="50"/>
      <c r="TZ54" s="50"/>
      <c r="UA54" s="50"/>
      <c r="UB54" s="50"/>
      <c r="UC54" s="50"/>
      <c r="UD54" s="50"/>
      <c r="UE54" s="50"/>
      <c r="UF54" s="50"/>
      <c r="UG54" s="50"/>
      <c r="UH54" s="50"/>
      <c r="UI54" s="50"/>
      <c r="UJ54" s="50"/>
      <c r="UK54" s="50"/>
      <c r="UL54" s="50"/>
      <c r="UM54" s="50"/>
      <c r="UN54" s="50"/>
      <c r="UO54" s="50"/>
      <c r="UP54" s="50"/>
      <c r="UQ54" s="50"/>
      <c r="UR54" s="50"/>
      <c r="US54" s="50"/>
      <c r="UT54" s="50"/>
      <c r="UU54" s="50"/>
      <c r="UV54" s="50"/>
      <c r="UW54" s="50"/>
      <c r="UX54" s="50"/>
      <c r="UY54" s="50"/>
      <c r="UZ54" s="50"/>
      <c r="VA54" s="50"/>
      <c r="VB54" s="50"/>
      <c r="VC54" s="50"/>
      <c r="VD54" s="50"/>
      <c r="VE54" s="50"/>
      <c r="VF54" s="50"/>
      <c r="VG54" s="50"/>
      <c r="VH54" s="50"/>
      <c r="VI54" s="50"/>
      <c r="VJ54" s="50"/>
      <c r="VK54" s="50"/>
      <c r="VL54" s="50"/>
      <c r="VM54" s="50"/>
      <c r="VN54" s="50"/>
      <c r="VO54" s="50"/>
      <c r="VP54" s="50"/>
      <c r="VQ54" s="50"/>
      <c r="VR54" s="50"/>
      <c r="VS54" s="50"/>
      <c r="VT54" s="50"/>
      <c r="VU54" s="50"/>
      <c r="VV54" s="50"/>
      <c r="VW54" s="50"/>
      <c r="VX54" s="50"/>
      <c r="VY54" s="50"/>
      <c r="VZ54" s="50"/>
      <c r="WA54" s="50"/>
      <c r="WB54" s="50"/>
      <c r="WC54" s="50"/>
      <c r="WD54" s="50"/>
      <c r="WE54" s="50"/>
      <c r="WF54" s="50"/>
      <c r="WG54" s="50"/>
      <c r="WH54" s="50"/>
      <c r="WI54" s="50"/>
      <c r="WJ54" s="50"/>
      <c r="WK54" s="50"/>
      <c r="WL54" s="50"/>
      <c r="WM54" s="50"/>
      <c r="WN54" s="50"/>
      <c r="WO54" s="50"/>
      <c r="WP54" s="50"/>
      <c r="WQ54" s="50"/>
      <c r="WR54" s="50"/>
      <c r="WS54" s="50"/>
      <c r="WT54" s="50"/>
      <c r="WU54" s="50"/>
      <c r="WV54" s="50"/>
      <c r="WW54" s="50"/>
      <c r="WX54" s="50"/>
      <c r="WY54" s="50"/>
      <c r="WZ54" s="50"/>
      <c r="XA54" s="50"/>
      <c r="XB54" s="50"/>
      <c r="XC54" s="50"/>
      <c r="XD54" s="50"/>
      <c r="XE54" s="50"/>
      <c r="XF54" s="50"/>
      <c r="XG54" s="50"/>
      <c r="XH54" s="50"/>
      <c r="XI54" s="50"/>
      <c r="XJ54" s="50"/>
      <c r="XK54" s="50"/>
      <c r="XL54" s="50"/>
      <c r="XM54" s="50"/>
      <c r="XN54" s="50"/>
      <c r="XO54" s="50"/>
      <c r="XP54" s="50"/>
      <c r="XQ54" s="50"/>
      <c r="XR54" s="50"/>
      <c r="XS54" s="50"/>
      <c r="XT54" s="50"/>
      <c r="XU54" s="50"/>
      <c r="XV54" s="50"/>
      <c r="XW54" s="50"/>
      <c r="XX54" s="50"/>
      <c r="XY54" s="50"/>
      <c r="XZ54" s="50"/>
      <c r="YA54" s="50"/>
      <c r="YB54" s="50"/>
      <c r="YC54" s="50"/>
      <c r="YD54" s="50"/>
      <c r="YE54" s="50"/>
      <c r="YF54" s="50"/>
      <c r="YG54" s="50"/>
      <c r="YH54" s="50"/>
      <c r="YI54" s="50"/>
      <c r="YJ54" s="50"/>
      <c r="YK54" s="50"/>
      <c r="YL54" s="50"/>
      <c r="YM54" s="50"/>
      <c r="YN54" s="50"/>
      <c r="YO54" s="50"/>
      <c r="YP54" s="50"/>
      <c r="YQ54" s="50"/>
      <c r="YR54" s="50"/>
      <c r="YS54" s="50"/>
      <c r="YT54" s="50"/>
      <c r="YU54" s="50"/>
      <c r="YV54" s="50"/>
      <c r="YW54" s="50"/>
      <c r="YX54" s="50"/>
      <c r="YY54" s="50"/>
      <c r="YZ54" s="50"/>
      <c r="ZA54" s="50"/>
      <c r="ZB54" s="50"/>
      <c r="ZC54" s="50"/>
      <c r="ZD54" s="50"/>
      <c r="ZE54" s="50"/>
      <c r="ZF54" s="50"/>
      <c r="ZG54" s="50"/>
      <c r="ZH54" s="50"/>
      <c r="ZI54" s="50"/>
      <c r="ZJ54" s="50"/>
      <c r="ZK54" s="50"/>
      <c r="ZL54" s="50"/>
      <c r="ZM54" s="50"/>
      <c r="ZN54" s="50"/>
      <c r="ZO54" s="50"/>
      <c r="ZP54" s="50"/>
      <c r="ZQ54" s="50"/>
      <c r="ZR54" s="50"/>
      <c r="ZS54" s="50"/>
      <c r="ZT54" s="50"/>
      <c r="ZU54" s="50"/>
      <c r="ZV54" s="50"/>
      <c r="ZW54" s="50"/>
      <c r="ZX54" s="50"/>
      <c r="ZY54" s="50"/>
      <c r="ZZ54" s="50"/>
      <c r="AAA54" s="50"/>
      <c r="AAB54" s="50"/>
      <c r="AAC54" s="50"/>
      <c r="AAD54" s="50"/>
      <c r="AAE54" s="50"/>
      <c r="AAF54" s="50"/>
      <c r="AAG54" s="50"/>
      <c r="AAH54" s="50"/>
      <c r="AAI54" s="50"/>
      <c r="AAJ54" s="50"/>
      <c r="AAK54" s="50"/>
      <c r="AAL54" s="50"/>
      <c r="AAM54" s="50"/>
      <c r="AAN54" s="50"/>
      <c r="AAO54" s="50"/>
      <c r="AAP54" s="50"/>
      <c r="AAQ54" s="50"/>
      <c r="AAR54" s="50"/>
      <c r="AAS54" s="50"/>
      <c r="AAT54" s="50"/>
      <c r="AAU54" s="50"/>
      <c r="AAV54" s="50"/>
      <c r="AAW54" s="50"/>
      <c r="AAX54" s="50"/>
      <c r="AAY54" s="50"/>
      <c r="AAZ54" s="50"/>
      <c r="ABA54" s="50"/>
      <c r="ABB54" s="50"/>
      <c r="ABC54" s="50"/>
      <c r="ABD54" s="50"/>
      <c r="ABE54" s="50"/>
      <c r="ABF54" s="50"/>
      <c r="ABG54" s="50"/>
      <c r="ABH54" s="50"/>
      <c r="ABI54" s="50"/>
      <c r="ABJ54" s="50"/>
      <c r="ABK54" s="50"/>
      <c r="ABL54" s="50"/>
      <c r="ABM54" s="50"/>
      <c r="ABN54" s="50"/>
      <c r="ABO54" s="50"/>
      <c r="ABP54" s="50"/>
      <c r="ABQ54" s="50"/>
      <c r="ABR54" s="50"/>
      <c r="ABS54" s="50"/>
      <c r="ABT54" s="50"/>
      <c r="ABU54" s="50"/>
      <c r="ABV54" s="50"/>
      <c r="ABW54" s="50"/>
      <c r="ABX54" s="50"/>
      <c r="ABY54" s="50"/>
      <c r="ABZ54" s="50"/>
      <c r="ACA54" s="50"/>
      <c r="ACB54" s="50"/>
      <c r="ACC54" s="50"/>
      <c r="ACD54" s="50"/>
      <c r="ACE54" s="50"/>
      <c r="ACF54" s="50"/>
      <c r="ACG54" s="50"/>
      <c r="ACH54" s="50"/>
      <c r="ACI54" s="50"/>
      <c r="ACJ54" s="50"/>
      <c r="ACK54" s="50"/>
      <c r="ACL54" s="50"/>
      <c r="ACM54" s="50"/>
      <c r="ACN54" s="50"/>
      <c r="ACO54" s="50"/>
      <c r="ACP54" s="50"/>
      <c r="ACQ54" s="50"/>
      <c r="ACR54" s="50"/>
      <c r="ACS54" s="50"/>
      <c r="ACT54" s="50"/>
      <c r="ACU54" s="50"/>
      <c r="ACV54" s="50"/>
      <c r="ACW54" s="50"/>
      <c r="ACX54" s="50"/>
      <c r="ACY54" s="50"/>
      <c r="ACZ54" s="50"/>
      <c r="ADA54" s="50"/>
      <c r="ADB54" s="50"/>
      <c r="ADC54" s="50"/>
      <c r="ADD54" s="50"/>
      <c r="ADE54" s="50"/>
      <c r="ADF54" s="50"/>
      <c r="ADG54" s="50"/>
      <c r="ADH54" s="50"/>
      <c r="ADI54" s="50"/>
      <c r="ADJ54" s="50"/>
      <c r="ADK54" s="50"/>
      <c r="ADL54" s="50"/>
      <c r="ADM54" s="50"/>
      <c r="ADN54" s="50"/>
      <c r="ADO54" s="50"/>
      <c r="ADP54" s="50"/>
      <c r="ADQ54" s="50"/>
      <c r="ADR54" s="50"/>
      <c r="ADS54" s="50"/>
      <c r="ADT54" s="50"/>
      <c r="ADU54" s="50"/>
      <c r="ADV54" s="50"/>
      <c r="ADW54" s="50"/>
      <c r="ADX54" s="50"/>
      <c r="ADY54" s="50"/>
      <c r="ADZ54" s="50"/>
      <c r="AEA54" s="50"/>
      <c r="AEB54" s="50"/>
      <c r="AEC54" s="50"/>
      <c r="AED54" s="50"/>
      <c r="AEE54" s="50"/>
      <c r="AEF54" s="50"/>
      <c r="AEG54" s="50"/>
      <c r="AEH54" s="50"/>
      <c r="AEI54" s="50"/>
      <c r="AEJ54" s="50"/>
      <c r="AEK54" s="50"/>
      <c r="AEL54" s="50"/>
      <c r="AEM54" s="50"/>
      <c r="AEN54" s="50"/>
      <c r="AEO54" s="50"/>
      <c r="AEP54" s="50"/>
      <c r="AEQ54" s="50"/>
      <c r="AER54" s="50"/>
    </row>
    <row r="55" spans="1:824" s="51" customFormat="1" ht="54.95" customHeight="1" x14ac:dyDescent="0.3">
      <c r="A55" s="44">
        <v>25</v>
      </c>
      <c r="B55" s="55" t="s">
        <v>172</v>
      </c>
      <c r="C55" s="44">
        <v>3223004205</v>
      </c>
      <c r="D55" s="40" t="s">
        <v>95</v>
      </c>
      <c r="E55" s="56" t="s">
        <v>173</v>
      </c>
      <c r="F55" s="57" t="s">
        <v>72</v>
      </c>
      <c r="G55" s="56" t="s">
        <v>136</v>
      </c>
      <c r="H55" s="60">
        <v>77.75</v>
      </c>
      <c r="I55" s="61">
        <v>60</v>
      </c>
      <c r="J55" s="61">
        <f>24881038.57/1000</f>
        <v>24881.038570000001</v>
      </c>
      <c r="K55" s="61">
        <v>31467</v>
      </c>
      <c r="L55" s="61">
        <v>24850.9</v>
      </c>
      <c r="M55" s="38">
        <v>31667</v>
      </c>
      <c r="N55" s="60">
        <f>(597860+40622.4)/1000</f>
        <v>638.48239999999998</v>
      </c>
      <c r="O55" s="60">
        <v>638.5</v>
      </c>
      <c r="P55" s="60">
        <v>0</v>
      </c>
      <c r="Q55" s="60">
        <v>0</v>
      </c>
      <c r="R55" s="60">
        <v>2976.1</v>
      </c>
      <c r="S55" s="60">
        <f>28699/10000</f>
        <v>2.8698999999999999</v>
      </c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  <c r="VQ55" s="50"/>
      <c r="VR55" s="50"/>
      <c r="VS55" s="50"/>
      <c r="VT55" s="50"/>
      <c r="VU55" s="50"/>
      <c r="VV55" s="50"/>
      <c r="VW55" s="50"/>
      <c r="VX55" s="50"/>
      <c r="VY55" s="50"/>
      <c r="VZ55" s="50"/>
      <c r="WA55" s="50"/>
      <c r="WB55" s="50"/>
      <c r="WC55" s="50"/>
      <c r="WD55" s="50"/>
      <c r="WE55" s="50"/>
      <c r="WF55" s="50"/>
      <c r="WG55" s="50"/>
      <c r="WH55" s="50"/>
      <c r="WI55" s="50"/>
      <c r="WJ55" s="50"/>
      <c r="WK55" s="50"/>
      <c r="WL55" s="50"/>
      <c r="WM55" s="50"/>
      <c r="WN55" s="50"/>
      <c r="WO55" s="50"/>
      <c r="WP55" s="50"/>
      <c r="WQ55" s="50"/>
      <c r="WR55" s="50"/>
      <c r="WS55" s="50"/>
      <c r="WT55" s="50"/>
      <c r="WU55" s="50"/>
      <c r="WV55" s="50"/>
      <c r="WW55" s="50"/>
      <c r="WX55" s="50"/>
      <c r="WY55" s="50"/>
      <c r="WZ55" s="50"/>
      <c r="XA55" s="50"/>
      <c r="XB55" s="50"/>
      <c r="XC55" s="50"/>
      <c r="XD55" s="50"/>
      <c r="XE55" s="50"/>
      <c r="XF55" s="50"/>
      <c r="XG55" s="50"/>
      <c r="XH55" s="50"/>
      <c r="XI55" s="50"/>
      <c r="XJ55" s="50"/>
      <c r="XK55" s="50"/>
      <c r="XL55" s="50"/>
      <c r="XM55" s="50"/>
      <c r="XN55" s="50"/>
      <c r="XO55" s="50"/>
      <c r="XP55" s="50"/>
      <c r="XQ55" s="50"/>
      <c r="XR55" s="50"/>
      <c r="XS55" s="50"/>
      <c r="XT55" s="50"/>
      <c r="XU55" s="50"/>
      <c r="XV55" s="50"/>
      <c r="XW55" s="50"/>
      <c r="XX55" s="50"/>
      <c r="XY55" s="50"/>
      <c r="XZ55" s="50"/>
      <c r="YA55" s="50"/>
      <c r="YB55" s="50"/>
      <c r="YC55" s="50"/>
      <c r="YD55" s="50"/>
      <c r="YE55" s="50"/>
      <c r="YF55" s="50"/>
      <c r="YG55" s="50"/>
      <c r="YH55" s="50"/>
      <c r="YI55" s="50"/>
      <c r="YJ55" s="50"/>
      <c r="YK55" s="50"/>
      <c r="YL55" s="50"/>
      <c r="YM55" s="50"/>
      <c r="YN55" s="50"/>
      <c r="YO55" s="50"/>
      <c r="YP55" s="50"/>
      <c r="YQ55" s="50"/>
      <c r="YR55" s="50"/>
      <c r="YS55" s="50"/>
      <c r="YT55" s="50"/>
      <c r="YU55" s="50"/>
      <c r="YV55" s="50"/>
      <c r="YW55" s="50"/>
      <c r="YX55" s="50"/>
      <c r="YY55" s="50"/>
      <c r="YZ55" s="50"/>
      <c r="ZA55" s="50"/>
      <c r="ZB55" s="50"/>
      <c r="ZC55" s="50"/>
      <c r="ZD55" s="50"/>
      <c r="ZE55" s="50"/>
      <c r="ZF55" s="50"/>
      <c r="ZG55" s="50"/>
      <c r="ZH55" s="50"/>
      <c r="ZI55" s="50"/>
      <c r="ZJ55" s="50"/>
      <c r="ZK55" s="50"/>
      <c r="ZL55" s="50"/>
      <c r="ZM55" s="50"/>
      <c r="ZN55" s="50"/>
      <c r="ZO55" s="50"/>
      <c r="ZP55" s="50"/>
      <c r="ZQ55" s="50"/>
      <c r="ZR55" s="50"/>
      <c r="ZS55" s="50"/>
      <c r="ZT55" s="50"/>
      <c r="ZU55" s="50"/>
      <c r="ZV55" s="50"/>
      <c r="ZW55" s="50"/>
      <c r="ZX55" s="50"/>
      <c r="ZY55" s="50"/>
      <c r="ZZ55" s="50"/>
      <c r="AAA55" s="50"/>
      <c r="AAB55" s="50"/>
      <c r="AAC55" s="50"/>
      <c r="AAD55" s="50"/>
      <c r="AAE55" s="50"/>
      <c r="AAF55" s="50"/>
      <c r="AAG55" s="50"/>
      <c r="AAH55" s="50"/>
      <c r="AAI55" s="50"/>
      <c r="AAJ55" s="50"/>
      <c r="AAK55" s="50"/>
      <c r="AAL55" s="50"/>
      <c r="AAM55" s="50"/>
      <c r="AAN55" s="50"/>
      <c r="AAO55" s="50"/>
      <c r="AAP55" s="50"/>
      <c r="AAQ55" s="50"/>
      <c r="AAR55" s="50"/>
      <c r="AAS55" s="50"/>
      <c r="AAT55" s="50"/>
      <c r="AAU55" s="50"/>
      <c r="AAV55" s="50"/>
      <c r="AAW55" s="50"/>
      <c r="AAX55" s="50"/>
      <c r="AAY55" s="50"/>
      <c r="AAZ55" s="50"/>
      <c r="ABA55" s="50"/>
      <c r="ABB55" s="50"/>
      <c r="ABC55" s="50"/>
      <c r="ABD55" s="50"/>
      <c r="ABE55" s="50"/>
      <c r="ABF55" s="50"/>
      <c r="ABG55" s="50"/>
      <c r="ABH55" s="50"/>
      <c r="ABI55" s="50"/>
      <c r="ABJ55" s="50"/>
      <c r="ABK55" s="50"/>
      <c r="ABL55" s="50"/>
      <c r="ABM55" s="50"/>
      <c r="ABN55" s="50"/>
      <c r="ABO55" s="50"/>
      <c r="ABP55" s="50"/>
      <c r="ABQ55" s="50"/>
      <c r="ABR55" s="50"/>
      <c r="ABS55" s="50"/>
      <c r="ABT55" s="50"/>
      <c r="ABU55" s="50"/>
      <c r="ABV55" s="50"/>
      <c r="ABW55" s="50"/>
      <c r="ABX55" s="50"/>
      <c r="ABY55" s="50"/>
      <c r="ABZ55" s="50"/>
      <c r="ACA55" s="50"/>
      <c r="ACB55" s="50"/>
      <c r="ACC55" s="50"/>
      <c r="ACD55" s="50"/>
      <c r="ACE55" s="50"/>
      <c r="ACF55" s="50"/>
      <c r="ACG55" s="50"/>
      <c r="ACH55" s="50"/>
      <c r="ACI55" s="50"/>
      <c r="ACJ55" s="50"/>
      <c r="ACK55" s="50"/>
      <c r="ACL55" s="50"/>
      <c r="ACM55" s="50"/>
      <c r="ACN55" s="50"/>
      <c r="ACO55" s="50"/>
      <c r="ACP55" s="50"/>
      <c r="ACQ55" s="50"/>
      <c r="ACR55" s="50"/>
      <c r="ACS55" s="50"/>
      <c r="ACT55" s="50"/>
      <c r="ACU55" s="50"/>
      <c r="ACV55" s="50"/>
      <c r="ACW55" s="50"/>
      <c r="ACX55" s="50"/>
      <c r="ACY55" s="50"/>
      <c r="ACZ55" s="50"/>
      <c r="ADA55" s="50"/>
      <c r="ADB55" s="50"/>
      <c r="ADC55" s="50"/>
      <c r="ADD55" s="50"/>
      <c r="ADE55" s="50"/>
      <c r="ADF55" s="50"/>
      <c r="ADG55" s="50"/>
      <c r="ADH55" s="50"/>
      <c r="ADI55" s="50"/>
      <c r="ADJ55" s="50"/>
      <c r="ADK55" s="50"/>
      <c r="ADL55" s="50"/>
      <c r="ADM55" s="50"/>
      <c r="ADN55" s="50"/>
      <c r="ADO55" s="50"/>
      <c r="ADP55" s="50"/>
      <c r="ADQ55" s="50"/>
      <c r="ADR55" s="50"/>
      <c r="ADS55" s="50"/>
      <c r="ADT55" s="50"/>
      <c r="ADU55" s="50"/>
      <c r="ADV55" s="50"/>
      <c r="ADW55" s="50"/>
      <c r="ADX55" s="50"/>
      <c r="ADY55" s="50"/>
      <c r="ADZ55" s="50"/>
      <c r="AEA55" s="50"/>
      <c r="AEB55" s="50"/>
      <c r="AEC55" s="50"/>
      <c r="AED55" s="50"/>
      <c r="AEE55" s="50"/>
      <c r="AEF55" s="50"/>
      <c r="AEG55" s="50"/>
      <c r="AEH55" s="50"/>
      <c r="AEI55" s="50"/>
      <c r="AEJ55" s="50"/>
      <c r="AEK55" s="50"/>
      <c r="AEL55" s="50"/>
      <c r="AEM55" s="50"/>
      <c r="AEN55" s="50"/>
      <c r="AEO55" s="50"/>
      <c r="AEP55" s="50"/>
      <c r="AEQ55" s="50"/>
      <c r="AER55" s="50"/>
    </row>
    <row r="56" spans="1:824" s="51" customFormat="1" ht="54.95" customHeight="1" x14ac:dyDescent="0.3">
      <c r="A56" s="44">
        <v>26</v>
      </c>
      <c r="B56" s="55" t="s">
        <v>174</v>
      </c>
      <c r="C56" s="44">
        <v>3223004420</v>
      </c>
      <c r="D56" s="40" t="s">
        <v>95</v>
      </c>
      <c r="E56" s="56" t="s">
        <v>175</v>
      </c>
      <c r="F56" s="57" t="s">
        <v>72</v>
      </c>
      <c r="G56" s="56" t="s">
        <v>136</v>
      </c>
      <c r="H56" s="60">
        <v>27</v>
      </c>
      <c r="I56" s="61">
        <v>24</v>
      </c>
      <c r="J56" s="61">
        <f>8509925.13/1000</f>
        <v>8509.9251300000014</v>
      </c>
      <c r="K56" s="61">
        <v>9257.7999999999993</v>
      </c>
      <c r="L56" s="61">
        <v>7925.8</v>
      </c>
      <c r="M56" s="38">
        <v>9357</v>
      </c>
      <c r="N56" s="60">
        <f>88482/1000</f>
        <v>88.481999999999999</v>
      </c>
      <c r="O56" s="60">
        <v>125</v>
      </c>
      <c r="P56" s="60">
        <v>86.3</v>
      </c>
      <c r="Q56" s="60">
        <v>125</v>
      </c>
      <c r="R56" s="60">
        <v>1029.5</v>
      </c>
      <c r="S56" s="60">
        <f>20000/10000</f>
        <v>2</v>
      </c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  <c r="VQ56" s="50"/>
      <c r="VR56" s="50"/>
      <c r="VS56" s="50"/>
      <c r="VT56" s="50"/>
      <c r="VU56" s="50"/>
      <c r="VV56" s="50"/>
      <c r="VW56" s="50"/>
      <c r="VX56" s="50"/>
      <c r="VY56" s="50"/>
      <c r="VZ56" s="50"/>
      <c r="WA56" s="50"/>
      <c r="WB56" s="50"/>
      <c r="WC56" s="50"/>
      <c r="WD56" s="50"/>
      <c r="WE56" s="50"/>
      <c r="WF56" s="50"/>
      <c r="WG56" s="50"/>
      <c r="WH56" s="50"/>
      <c r="WI56" s="50"/>
      <c r="WJ56" s="50"/>
      <c r="WK56" s="50"/>
      <c r="WL56" s="50"/>
      <c r="WM56" s="50"/>
      <c r="WN56" s="50"/>
      <c r="WO56" s="50"/>
      <c r="WP56" s="50"/>
      <c r="WQ56" s="50"/>
      <c r="WR56" s="50"/>
      <c r="WS56" s="50"/>
      <c r="WT56" s="50"/>
      <c r="WU56" s="50"/>
      <c r="WV56" s="50"/>
      <c r="WW56" s="50"/>
      <c r="WX56" s="50"/>
      <c r="WY56" s="50"/>
      <c r="WZ56" s="50"/>
      <c r="XA56" s="50"/>
      <c r="XB56" s="50"/>
      <c r="XC56" s="50"/>
      <c r="XD56" s="50"/>
      <c r="XE56" s="50"/>
      <c r="XF56" s="50"/>
      <c r="XG56" s="50"/>
      <c r="XH56" s="50"/>
      <c r="XI56" s="50"/>
      <c r="XJ56" s="50"/>
      <c r="XK56" s="50"/>
      <c r="XL56" s="50"/>
      <c r="XM56" s="50"/>
      <c r="XN56" s="50"/>
      <c r="XO56" s="50"/>
      <c r="XP56" s="50"/>
      <c r="XQ56" s="50"/>
      <c r="XR56" s="50"/>
      <c r="XS56" s="50"/>
      <c r="XT56" s="50"/>
      <c r="XU56" s="50"/>
      <c r="XV56" s="50"/>
      <c r="XW56" s="50"/>
      <c r="XX56" s="50"/>
      <c r="XY56" s="50"/>
      <c r="XZ56" s="50"/>
      <c r="YA56" s="50"/>
      <c r="YB56" s="50"/>
      <c r="YC56" s="50"/>
      <c r="YD56" s="50"/>
      <c r="YE56" s="50"/>
      <c r="YF56" s="50"/>
      <c r="YG56" s="50"/>
      <c r="YH56" s="50"/>
      <c r="YI56" s="50"/>
      <c r="YJ56" s="50"/>
      <c r="YK56" s="50"/>
      <c r="YL56" s="50"/>
      <c r="YM56" s="50"/>
      <c r="YN56" s="50"/>
      <c r="YO56" s="50"/>
      <c r="YP56" s="50"/>
      <c r="YQ56" s="50"/>
      <c r="YR56" s="50"/>
      <c r="YS56" s="50"/>
      <c r="YT56" s="50"/>
      <c r="YU56" s="50"/>
      <c r="YV56" s="50"/>
      <c r="YW56" s="50"/>
      <c r="YX56" s="50"/>
      <c r="YY56" s="50"/>
      <c r="YZ56" s="50"/>
      <c r="ZA56" s="50"/>
      <c r="ZB56" s="50"/>
      <c r="ZC56" s="50"/>
      <c r="ZD56" s="50"/>
      <c r="ZE56" s="50"/>
      <c r="ZF56" s="50"/>
      <c r="ZG56" s="50"/>
      <c r="ZH56" s="50"/>
      <c r="ZI56" s="50"/>
      <c r="ZJ56" s="50"/>
      <c r="ZK56" s="50"/>
      <c r="ZL56" s="50"/>
      <c r="ZM56" s="50"/>
      <c r="ZN56" s="50"/>
      <c r="ZO56" s="50"/>
      <c r="ZP56" s="50"/>
      <c r="ZQ56" s="50"/>
      <c r="ZR56" s="50"/>
      <c r="ZS56" s="50"/>
      <c r="ZT56" s="50"/>
      <c r="ZU56" s="50"/>
      <c r="ZV56" s="50"/>
      <c r="ZW56" s="50"/>
      <c r="ZX56" s="50"/>
      <c r="ZY56" s="50"/>
      <c r="ZZ56" s="50"/>
      <c r="AAA56" s="50"/>
      <c r="AAB56" s="50"/>
      <c r="AAC56" s="50"/>
      <c r="AAD56" s="50"/>
      <c r="AAE56" s="50"/>
      <c r="AAF56" s="50"/>
      <c r="AAG56" s="50"/>
      <c r="AAH56" s="50"/>
      <c r="AAI56" s="50"/>
      <c r="AAJ56" s="50"/>
      <c r="AAK56" s="50"/>
      <c r="AAL56" s="50"/>
      <c r="AAM56" s="50"/>
      <c r="AAN56" s="50"/>
      <c r="AAO56" s="50"/>
      <c r="AAP56" s="50"/>
      <c r="AAQ56" s="50"/>
      <c r="AAR56" s="50"/>
      <c r="AAS56" s="50"/>
      <c r="AAT56" s="50"/>
      <c r="AAU56" s="50"/>
      <c r="AAV56" s="50"/>
      <c r="AAW56" s="50"/>
      <c r="AAX56" s="50"/>
      <c r="AAY56" s="50"/>
      <c r="AAZ56" s="50"/>
      <c r="ABA56" s="50"/>
      <c r="ABB56" s="50"/>
      <c r="ABC56" s="50"/>
      <c r="ABD56" s="50"/>
      <c r="ABE56" s="50"/>
      <c r="ABF56" s="50"/>
      <c r="ABG56" s="50"/>
      <c r="ABH56" s="50"/>
      <c r="ABI56" s="50"/>
      <c r="ABJ56" s="50"/>
      <c r="ABK56" s="50"/>
      <c r="ABL56" s="50"/>
      <c r="ABM56" s="50"/>
      <c r="ABN56" s="50"/>
      <c r="ABO56" s="50"/>
      <c r="ABP56" s="50"/>
      <c r="ABQ56" s="50"/>
      <c r="ABR56" s="50"/>
      <c r="ABS56" s="50"/>
      <c r="ABT56" s="50"/>
      <c r="ABU56" s="50"/>
      <c r="ABV56" s="50"/>
      <c r="ABW56" s="50"/>
      <c r="ABX56" s="50"/>
      <c r="ABY56" s="50"/>
      <c r="ABZ56" s="50"/>
      <c r="ACA56" s="50"/>
      <c r="ACB56" s="50"/>
      <c r="ACC56" s="50"/>
      <c r="ACD56" s="50"/>
      <c r="ACE56" s="50"/>
      <c r="ACF56" s="50"/>
      <c r="ACG56" s="50"/>
      <c r="ACH56" s="50"/>
      <c r="ACI56" s="50"/>
      <c r="ACJ56" s="50"/>
      <c r="ACK56" s="50"/>
      <c r="ACL56" s="50"/>
      <c r="ACM56" s="50"/>
      <c r="ACN56" s="50"/>
      <c r="ACO56" s="50"/>
      <c r="ACP56" s="50"/>
      <c r="ACQ56" s="50"/>
      <c r="ACR56" s="50"/>
      <c r="ACS56" s="50"/>
      <c r="ACT56" s="50"/>
      <c r="ACU56" s="50"/>
      <c r="ACV56" s="50"/>
      <c r="ACW56" s="50"/>
      <c r="ACX56" s="50"/>
      <c r="ACY56" s="50"/>
      <c r="ACZ56" s="50"/>
      <c r="ADA56" s="50"/>
      <c r="ADB56" s="50"/>
      <c r="ADC56" s="50"/>
      <c r="ADD56" s="50"/>
      <c r="ADE56" s="50"/>
      <c r="ADF56" s="50"/>
      <c r="ADG56" s="50"/>
      <c r="ADH56" s="50"/>
      <c r="ADI56" s="50"/>
      <c r="ADJ56" s="50"/>
      <c r="ADK56" s="50"/>
      <c r="ADL56" s="50"/>
      <c r="ADM56" s="50"/>
      <c r="ADN56" s="50"/>
      <c r="ADO56" s="50"/>
      <c r="ADP56" s="50"/>
      <c r="ADQ56" s="50"/>
      <c r="ADR56" s="50"/>
      <c r="ADS56" s="50"/>
      <c r="ADT56" s="50"/>
      <c r="ADU56" s="50"/>
      <c r="ADV56" s="50"/>
      <c r="ADW56" s="50"/>
      <c r="ADX56" s="50"/>
      <c r="ADY56" s="50"/>
      <c r="ADZ56" s="50"/>
      <c r="AEA56" s="50"/>
      <c r="AEB56" s="50"/>
      <c r="AEC56" s="50"/>
      <c r="AED56" s="50"/>
      <c r="AEE56" s="50"/>
      <c r="AEF56" s="50"/>
      <c r="AEG56" s="50"/>
      <c r="AEH56" s="50"/>
      <c r="AEI56" s="50"/>
      <c r="AEJ56" s="50"/>
      <c r="AEK56" s="50"/>
      <c r="AEL56" s="50"/>
      <c r="AEM56" s="50"/>
      <c r="AEN56" s="50"/>
      <c r="AEO56" s="50"/>
      <c r="AEP56" s="50"/>
      <c r="AEQ56" s="50"/>
      <c r="AER56" s="50"/>
    </row>
    <row r="57" spans="1:824" s="51" customFormat="1" ht="54.95" customHeight="1" x14ac:dyDescent="0.3">
      <c r="A57" s="44">
        <v>27</v>
      </c>
      <c r="B57" s="55" t="s">
        <v>176</v>
      </c>
      <c r="C57" s="44">
        <v>3223004406</v>
      </c>
      <c r="D57" s="40" t="s">
        <v>95</v>
      </c>
      <c r="E57" s="56" t="s">
        <v>177</v>
      </c>
      <c r="F57" s="57" t="s">
        <v>72</v>
      </c>
      <c r="G57" s="56" t="s">
        <v>136</v>
      </c>
      <c r="H57" s="60">
        <v>26.1</v>
      </c>
      <c r="I57" s="61">
        <v>27</v>
      </c>
      <c r="J57" s="61">
        <f>8302762.15/1000</f>
        <v>8302.7621500000005</v>
      </c>
      <c r="K57" s="61">
        <v>8867.7000000000007</v>
      </c>
      <c r="L57" s="61">
        <v>7685.8</v>
      </c>
      <c r="M57" s="38">
        <v>9067</v>
      </c>
      <c r="N57" s="60">
        <f>75964/1000</f>
        <v>75.963999999999999</v>
      </c>
      <c r="O57" s="60">
        <v>140</v>
      </c>
      <c r="P57" s="60">
        <v>88.2</v>
      </c>
      <c r="Q57" s="60">
        <v>140</v>
      </c>
      <c r="R57" s="60">
        <v>2381.8000000000002</v>
      </c>
      <c r="S57" s="60">
        <f>19874/10000</f>
        <v>1.9874000000000001</v>
      </c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  <c r="ABK57" s="50"/>
      <c r="ABL57" s="50"/>
      <c r="ABM57" s="50"/>
      <c r="ABN57" s="50"/>
      <c r="ABO57" s="50"/>
      <c r="ABP57" s="50"/>
      <c r="ABQ57" s="50"/>
      <c r="ABR57" s="50"/>
      <c r="ABS57" s="50"/>
      <c r="ABT57" s="50"/>
      <c r="ABU57" s="50"/>
      <c r="ABV57" s="50"/>
      <c r="ABW57" s="50"/>
      <c r="ABX57" s="50"/>
      <c r="ABY57" s="50"/>
      <c r="ABZ57" s="50"/>
      <c r="ACA57" s="50"/>
      <c r="ACB57" s="50"/>
      <c r="ACC57" s="50"/>
      <c r="ACD57" s="50"/>
      <c r="ACE57" s="50"/>
      <c r="ACF57" s="50"/>
      <c r="ACG57" s="50"/>
      <c r="ACH57" s="50"/>
      <c r="ACI57" s="50"/>
      <c r="ACJ57" s="50"/>
      <c r="ACK57" s="50"/>
      <c r="ACL57" s="50"/>
      <c r="ACM57" s="50"/>
      <c r="ACN57" s="50"/>
      <c r="ACO57" s="50"/>
      <c r="ACP57" s="50"/>
      <c r="ACQ57" s="50"/>
      <c r="ACR57" s="50"/>
      <c r="ACS57" s="50"/>
      <c r="ACT57" s="50"/>
      <c r="ACU57" s="50"/>
      <c r="ACV57" s="50"/>
      <c r="ACW57" s="50"/>
      <c r="ACX57" s="50"/>
      <c r="ACY57" s="50"/>
      <c r="ACZ57" s="50"/>
      <c r="ADA57" s="50"/>
      <c r="ADB57" s="50"/>
      <c r="ADC57" s="50"/>
      <c r="ADD57" s="50"/>
      <c r="ADE57" s="50"/>
      <c r="ADF57" s="50"/>
      <c r="ADG57" s="50"/>
      <c r="ADH57" s="50"/>
      <c r="ADI57" s="50"/>
      <c r="ADJ57" s="50"/>
      <c r="ADK57" s="50"/>
      <c r="ADL57" s="50"/>
      <c r="ADM57" s="50"/>
      <c r="ADN57" s="50"/>
      <c r="ADO57" s="50"/>
      <c r="ADP57" s="50"/>
      <c r="ADQ57" s="50"/>
      <c r="ADR57" s="50"/>
      <c r="ADS57" s="50"/>
      <c r="ADT57" s="50"/>
      <c r="ADU57" s="50"/>
      <c r="ADV57" s="50"/>
      <c r="ADW57" s="50"/>
      <c r="ADX57" s="50"/>
      <c r="ADY57" s="50"/>
      <c r="ADZ57" s="50"/>
      <c r="AEA57" s="50"/>
      <c r="AEB57" s="50"/>
      <c r="AEC57" s="50"/>
      <c r="AED57" s="50"/>
      <c r="AEE57" s="50"/>
      <c r="AEF57" s="50"/>
      <c r="AEG57" s="50"/>
      <c r="AEH57" s="50"/>
      <c r="AEI57" s="50"/>
      <c r="AEJ57" s="50"/>
      <c r="AEK57" s="50"/>
      <c r="AEL57" s="50"/>
      <c r="AEM57" s="50"/>
      <c r="AEN57" s="50"/>
      <c r="AEO57" s="50"/>
      <c r="AEP57" s="50"/>
      <c r="AEQ57" s="50"/>
      <c r="AER57" s="50"/>
    </row>
    <row r="58" spans="1:824" s="51" customFormat="1" ht="54.95" customHeight="1" x14ac:dyDescent="0.3">
      <c r="A58" s="44">
        <v>28</v>
      </c>
      <c r="B58" s="55" t="s">
        <v>178</v>
      </c>
      <c r="C58" s="44">
        <v>3223004300</v>
      </c>
      <c r="D58" s="40" t="s">
        <v>95</v>
      </c>
      <c r="E58" s="56" t="s">
        <v>179</v>
      </c>
      <c r="F58" s="57" t="s">
        <v>72</v>
      </c>
      <c r="G58" s="56" t="s">
        <v>136</v>
      </c>
      <c r="H58" s="60">
        <v>16.3</v>
      </c>
      <c r="I58" s="61">
        <v>16</v>
      </c>
      <c r="J58" s="61">
        <f>5848049.8/1000</f>
        <v>5848.0497999999998</v>
      </c>
      <c r="K58" s="61">
        <v>6323.4</v>
      </c>
      <c r="L58" s="61">
        <v>5762.1</v>
      </c>
      <c r="M58" s="38">
        <v>6524</v>
      </c>
      <c r="N58" s="60">
        <f>14590.6/1000</f>
        <v>14.5906</v>
      </c>
      <c r="O58" s="60">
        <v>30</v>
      </c>
      <c r="P58" s="60">
        <v>6.9</v>
      </c>
      <c r="Q58" s="60">
        <v>30</v>
      </c>
      <c r="R58" s="60">
        <v>1661.8</v>
      </c>
      <c r="S58" s="60">
        <f>22666/10000</f>
        <v>2.2665999999999999</v>
      </c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  <c r="QF58" s="50"/>
      <c r="QG58" s="50"/>
      <c r="QH58" s="50"/>
      <c r="QI58" s="50"/>
      <c r="QJ58" s="50"/>
      <c r="QK58" s="50"/>
      <c r="QL58" s="50"/>
      <c r="QM58" s="50"/>
      <c r="QN58" s="50"/>
      <c r="QO58" s="50"/>
      <c r="QP58" s="50"/>
      <c r="QQ58" s="50"/>
      <c r="QR58" s="50"/>
      <c r="QS58" s="50"/>
      <c r="QT58" s="50"/>
      <c r="QU58" s="50"/>
      <c r="QV58" s="50"/>
      <c r="QW58" s="50"/>
      <c r="QX58" s="50"/>
      <c r="QY58" s="50"/>
      <c r="QZ58" s="50"/>
      <c r="RA58" s="50"/>
      <c r="RB58" s="50"/>
      <c r="RC58" s="50"/>
      <c r="RD58" s="50"/>
      <c r="RE58" s="50"/>
      <c r="RF58" s="50"/>
      <c r="RG58" s="50"/>
      <c r="RH58" s="50"/>
      <c r="RI58" s="50"/>
      <c r="RJ58" s="50"/>
      <c r="RK58" s="50"/>
      <c r="RL58" s="50"/>
      <c r="RM58" s="50"/>
      <c r="RN58" s="50"/>
      <c r="RO58" s="50"/>
      <c r="RP58" s="50"/>
      <c r="RQ58" s="50"/>
      <c r="RR58" s="50"/>
      <c r="RS58" s="50"/>
      <c r="RT58" s="50"/>
      <c r="RU58" s="50"/>
      <c r="RV58" s="50"/>
      <c r="RW58" s="50"/>
      <c r="RX58" s="50"/>
      <c r="RY58" s="50"/>
      <c r="RZ58" s="50"/>
      <c r="SA58" s="50"/>
      <c r="SB58" s="50"/>
      <c r="SC58" s="50"/>
      <c r="SD58" s="50"/>
      <c r="SE58" s="50"/>
      <c r="SF58" s="50"/>
      <c r="SG58" s="50"/>
      <c r="SH58" s="50"/>
      <c r="SI58" s="50"/>
      <c r="SJ58" s="50"/>
      <c r="SK58" s="50"/>
      <c r="SL58" s="50"/>
      <c r="SM58" s="50"/>
      <c r="SN58" s="50"/>
      <c r="SO58" s="50"/>
      <c r="SP58" s="50"/>
      <c r="SQ58" s="50"/>
      <c r="SR58" s="50"/>
      <c r="SS58" s="50"/>
      <c r="ST58" s="50"/>
      <c r="SU58" s="50"/>
      <c r="SV58" s="50"/>
      <c r="SW58" s="50"/>
      <c r="SX58" s="50"/>
      <c r="SY58" s="50"/>
      <c r="SZ58" s="50"/>
      <c r="TA58" s="50"/>
      <c r="TB58" s="50"/>
      <c r="TC58" s="50"/>
      <c r="TD58" s="50"/>
      <c r="TE58" s="50"/>
      <c r="TF58" s="50"/>
      <c r="TG58" s="50"/>
      <c r="TH58" s="50"/>
      <c r="TI58" s="50"/>
      <c r="TJ58" s="50"/>
      <c r="TK58" s="50"/>
      <c r="TL58" s="50"/>
      <c r="TM58" s="50"/>
      <c r="TN58" s="50"/>
      <c r="TO58" s="50"/>
      <c r="TP58" s="50"/>
      <c r="TQ58" s="50"/>
      <c r="TR58" s="50"/>
      <c r="TS58" s="50"/>
      <c r="TT58" s="50"/>
      <c r="TU58" s="50"/>
      <c r="TV58" s="50"/>
      <c r="TW58" s="50"/>
      <c r="TX58" s="50"/>
      <c r="TY58" s="50"/>
      <c r="TZ58" s="50"/>
      <c r="UA58" s="50"/>
      <c r="UB58" s="50"/>
      <c r="UC58" s="50"/>
      <c r="UD58" s="50"/>
      <c r="UE58" s="50"/>
      <c r="UF58" s="50"/>
      <c r="UG58" s="50"/>
      <c r="UH58" s="50"/>
      <c r="UI58" s="50"/>
      <c r="UJ58" s="50"/>
      <c r="UK58" s="50"/>
      <c r="UL58" s="50"/>
      <c r="UM58" s="50"/>
      <c r="UN58" s="50"/>
      <c r="UO58" s="50"/>
      <c r="UP58" s="50"/>
      <c r="UQ58" s="50"/>
      <c r="UR58" s="50"/>
      <c r="US58" s="50"/>
      <c r="UT58" s="50"/>
      <c r="UU58" s="50"/>
      <c r="UV58" s="50"/>
      <c r="UW58" s="50"/>
      <c r="UX58" s="50"/>
      <c r="UY58" s="50"/>
      <c r="UZ58" s="50"/>
      <c r="VA58" s="50"/>
      <c r="VB58" s="50"/>
      <c r="VC58" s="50"/>
      <c r="VD58" s="50"/>
      <c r="VE58" s="50"/>
      <c r="VF58" s="50"/>
      <c r="VG58" s="50"/>
      <c r="VH58" s="50"/>
      <c r="VI58" s="50"/>
      <c r="VJ58" s="50"/>
      <c r="VK58" s="50"/>
      <c r="VL58" s="50"/>
      <c r="VM58" s="50"/>
      <c r="VN58" s="50"/>
      <c r="VO58" s="50"/>
      <c r="VP58" s="50"/>
      <c r="VQ58" s="50"/>
      <c r="VR58" s="50"/>
      <c r="VS58" s="50"/>
      <c r="VT58" s="50"/>
      <c r="VU58" s="50"/>
      <c r="VV58" s="50"/>
      <c r="VW58" s="50"/>
      <c r="VX58" s="50"/>
      <c r="VY58" s="50"/>
      <c r="VZ58" s="50"/>
      <c r="WA58" s="50"/>
      <c r="WB58" s="50"/>
      <c r="WC58" s="50"/>
      <c r="WD58" s="50"/>
      <c r="WE58" s="50"/>
      <c r="WF58" s="50"/>
      <c r="WG58" s="50"/>
      <c r="WH58" s="50"/>
      <c r="WI58" s="50"/>
      <c r="WJ58" s="50"/>
      <c r="WK58" s="50"/>
      <c r="WL58" s="50"/>
      <c r="WM58" s="50"/>
      <c r="WN58" s="50"/>
      <c r="WO58" s="50"/>
      <c r="WP58" s="50"/>
      <c r="WQ58" s="50"/>
      <c r="WR58" s="50"/>
      <c r="WS58" s="50"/>
      <c r="WT58" s="50"/>
      <c r="WU58" s="50"/>
      <c r="WV58" s="50"/>
      <c r="WW58" s="50"/>
      <c r="WX58" s="50"/>
      <c r="WY58" s="50"/>
      <c r="WZ58" s="50"/>
      <c r="XA58" s="50"/>
      <c r="XB58" s="50"/>
      <c r="XC58" s="50"/>
      <c r="XD58" s="50"/>
      <c r="XE58" s="50"/>
      <c r="XF58" s="50"/>
      <c r="XG58" s="50"/>
      <c r="XH58" s="50"/>
      <c r="XI58" s="50"/>
      <c r="XJ58" s="50"/>
      <c r="XK58" s="50"/>
      <c r="XL58" s="50"/>
      <c r="XM58" s="50"/>
      <c r="XN58" s="50"/>
      <c r="XO58" s="50"/>
      <c r="XP58" s="50"/>
      <c r="XQ58" s="50"/>
      <c r="XR58" s="50"/>
      <c r="XS58" s="50"/>
      <c r="XT58" s="50"/>
      <c r="XU58" s="50"/>
      <c r="XV58" s="50"/>
      <c r="XW58" s="50"/>
      <c r="XX58" s="50"/>
      <c r="XY58" s="50"/>
      <c r="XZ58" s="50"/>
      <c r="YA58" s="50"/>
      <c r="YB58" s="50"/>
      <c r="YC58" s="50"/>
      <c r="YD58" s="50"/>
      <c r="YE58" s="50"/>
      <c r="YF58" s="50"/>
      <c r="YG58" s="50"/>
      <c r="YH58" s="50"/>
      <c r="YI58" s="50"/>
      <c r="YJ58" s="50"/>
      <c r="YK58" s="50"/>
      <c r="YL58" s="50"/>
      <c r="YM58" s="50"/>
      <c r="YN58" s="50"/>
      <c r="YO58" s="50"/>
      <c r="YP58" s="50"/>
      <c r="YQ58" s="50"/>
      <c r="YR58" s="50"/>
      <c r="YS58" s="50"/>
      <c r="YT58" s="50"/>
      <c r="YU58" s="50"/>
      <c r="YV58" s="50"/>
      <c r="YW58" s="50"/>
      <c r="YX58" s="50"/>
      <c r="YY58" s="50"/>
      <c r="YZ58" s="50"/>
      <c r="ZA58" s="50"/>
      <c r="ZB58" s="50"/>
      <c r="ZC58" s="50"/>
      <c r="ZD58" s="50"/>
      <c r="ZE58" s="50"/>
      <c r="ZF58" s="50"/>
      <c r="ZG58" s="50"/>
      <c r="ZH58" s="50"/>
      <c r="ZI58" s="50"/>
      <c r="ZJ58" s="50"/>
      <c r="ZK58" s="50"/>
      <c r="ZL58" s="50"/>
      <c r="ZM58" s="50"/>
      <c r="ZN58" s="50"/>
      <c r="ZO58" s="50"/>
      <c r="ZP58" s="50"/>
      <c r="ZQ58" s="50"/>
      <c r="ZR58" s="50"/>
      <c r="ZS58" s="50"/>
      <c r="ZT58" s="50"/>
      <c r="ZU58" s="50"/>
      <c r="ZV58" s="50"/>
      <c r="ZW58" s="50"/>
      <c r="ZX58" s="50"/>
      <c r="ZY58" s="50"/>
      <c r="ZZ58" s="50"/>
      <c r="AAA58" s="50"/>
      <c r="AAB58" s="50"/>
      <c r="AAC58" s="50"/>
      <c r="AAD58" s="50"/>
      <c r="AAE58" s="50"/>
      <c r="AAF58" s="50"/>
      <c r="AAG58" s="50"/>
      <c r="AAH58" s="50"/>
      <c r="AAI58" s="50"/>
      <c r="AAJ58" s="50"/>
      <c r="AAK58" s="50"/>
      <c r="AAL58" s="50"/>
      <c r="AAM58" s="50"/>
      <c r="AAN58" s="50"/>
      <c r="AAO58" s="50"/>
      <c r="AAP58" s="50"/>
      <c r="AAQ58" s="50"/>
      <c r="AAR58" s="50"/>
      <c r="AAS58" s="50"/>
      <c r="AAT58" s="50"/>
      <c r="AAU58" s="50"/>
      <c r="AAV58" s="50"/>
      <c r="AAW58" s="50"/>
      <c r="AAX58" s="50"/>
      <c r="AAY58" s="50"/>
      <c r="AAZ58" s="50"/>
      <c r="ABA58" s="50"/>
      <c r="ABB58" s="50"/>
      <c r="ABC58" s="50"/>
      <c r="ABD58" s="50"/>
      <c r="ABE58" s="50"/>
      <c r="ABF58" s="50"/>
      <c r="ABG58" s="50"/>
      <c r="ABH58" s="50"/>
      <c r="ABI58" s="50"/>
      <c r="ABJ58" s="50"/>
      <c r="ABK58" s="50"/>
      <c r="ABL58" s="50"/>
      <c r="ABM58" s="50"/>
      <c r="ABN58" s="50"/>
      <c r="ABO58" s="50"/>
      <c r="ABP58" s="50"/>
      <c r="ABQ58" s="50"/>
      <c r="ABR58" s="50"/>
      <c r="ABS58" s="50"/>
      <c r="ABT58" s="50"/>
      <c r="ABU58" s="50"/>
      <c r="ABV58" s="50"/>
      <c r="ABW58" s="50"/>
      <c r="ABX58" s="50"/>
      <c r="ABY58" s="50"/>
      <c r="ABZ58" s="50"/>
      <c r="ACA58" s="50"/>
      <c r="ACB58" s="50"/>
      <c r="ACC58" s="50"/>
      <c r="ACD58" s="50"/>
      <c r="ACE58" s="50"/>
      <c r="ACF58" s="50"/>
      <c r="ACG58" s="50"/>
      <c r="ACH58" s="50"/>
      <c r="ACI58" s="50"/>
      <c r="ACJ58" s="50"/>
      <c r="ACK58" s="50"/>
      <c r="ACL58" s="50"/>
      <c r="ACM58" s="50"/>
      <c r="ACN58" s="50"/>
      <c r="ACO58" s="50"/>
      <c r="ACP58" s="50"/>
      <c r="ACQ58" s="50"/>
      <c r="ACR58" s="50"/>
      <c r="ACS58" s="50"/>
      <c r="ACT58" s="50"/>
      <c r="ACU58" s="50"/>
      <c r="ACV58" s="50"/>
      <c r="ACW58" s="50"/>
      <c r="ACX58" s="50"/>
      <c r="ACY58" s="50"/>
      <c r="ACZ58" s="50"/>
      <c r="ADA58" s="50"/>
      <c r="ADB58" s="50"/>
      <c r="ADC58" s="50"/>
      <c r="ADD58" s="50"/>
      <c r="ADE58" s="50"/>
      <c r="ADF58" s="50"/>
      <c r="ADG58" s="50"/>
      <c r="ADH58" s="50"/>
      <c r="ADI58" s="50"/>
      <c r="ADJ58" s="50"/>
      <c r="ADK58" s="50"/>
      <c r="ADL58" s="50"/>
      <c r="ADM58" s="50"/>
      <c r="ADN58" s="50"/>
      <c r="ADO58" s="50"/>
      <c r="ADP58" s="50"/>
      <c r="ADQ58" s="50"/>
      <c r="ADR58" s="50"/>
      <c r="ADS58" s="50"/>
      <c r="ADT58" s="50"/>
      <c r="ADU58" s="50"/>
      <c r="ADV58" s="50"/>
      <c r="ADW58" s="50"/>
      <c r="ADX58" s="50"/>
      <c r="ADY58" s="50"/>
      <c r="ADZ58" s="50"/>
      <c r="AEA58" s="50"/>
      <c r="AEB58" s="50"/>
      <c r="AEC58" s="50"/>
      <c r="AED58" s="50"/>
      <c r="AEE58" s="50"/>
      <c r="AEF58" s="50"/>
      <c r="AEG58" s="50"/>
      <c r="AEH58" s="50"/>
      <c r="AEI58" s="50"/>
      <c r="AEJ58" s="50"/>
      <c r="AEK58" s="50"/>
      <c r="AEL58" s="50"/>
      <c r="AEM58" s="50"/>
      <c r="AEN58" s="50"/>
      <c r="AEO58" s="50"/>
      <c r="AEP58" s="50"/>
      <c r="AEQ58" s="50"/>
      <c r="AER58" s="50"/>
    </row>
    <row r="59" spans="1:824" s="51" customFormat="1" ht="54.95" customHeight="1" x14ac:dyDescent="0.3">
      <c r="A59" s="44">
        <v>29</v>
      </c>
      <c r="B59" s="55" t="s">
        <v>180</v>
      </c>
      <c r="C59" s="44">
        <v>3223004212</v>
      </c>
      <c r="D59" s="40" t="s">
        <v>95</v>
      </c>
      <c r="E59" s="56" t="s">
        <v>181</v>
      </c>
      <c r="F59" s="57" t="s">
        <v>73</v>
      </c>
      <c r="G59" s="56" t="s">
        <v>157</v>
      </c>
      <c r="H59" s="60">
        <v>14.7</v>
      </c>
      <c r="I59" s="61">
        <v>12</v>
      </c>
      <c r="J59" s="61">
        <f>5523929.2/1000</f>
        <v>5523.9292000000005</v>
      </c>
      <c r="K59" s="61">
        <v>6281.5</v>
      </c>
      <c r="L59" s="61">
        <v>4864.6000000000004</v>
      </c>
      <c r="M59" s="38">
        <v>6581.5</v>
      </c>
      <c r="N59" s="60">
        <f>53496.86/1000</f>
        <v>53.496859999999998</v>
      </c>
      <c r="O59" s="60">
        <v>55</v>
      </c>
      <c r="P59" s="60">
        <v>58</v>
      </c>
      <c r="Q59" s="60">
        <v>55</v>
      </c>
      <c r="R59" s="60">
        <v>2948.5</v>
      </c>
      <c r="S59" s="60">
        <f>10448/10000</f>
        <v>1.0448</v>
      </c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50"/>
      <c r="SD59" s="50"/>
      <c r="SE59" s="50"/>
      <c r="SF59" s="50"/>
      <c r="SG59" s="50"/>
      <c r="SH59" s="50"/>
      <c r="SI59" s="50"/>
      <c r="SJ59" s="50"/>
      <c r="SK59" s="50"/>
      <c r="SL59" s="50"/>
      <c r="SM59" s="50"/>
      <c r="SN59" s="50"/>
      <c r="SO59" s="50"/>
      <c r="SP59" s="50"/>
      <c r="SQ59" s="50"/>
      <c r="SR59" s="50"/>
      <c r="SS59" s="50"/>
      <c r="ST59" s="50"/>
      <c r="SU59" s="50"/>
      <c r="SV59" s="50"/>
      <c r="SW59" s="50"/>
      <c r="SX59" s="50"/>
      <c r="SY59" s="50"/>
      <c r="SZ59" s="50"/>
      <c r="TA59" s="50"/>
      <c r="TB59" s="50"/>
      <c r="TC59" s="50"/>
      <c r="TD59" s="50"/>
      <c r="TE59" s="50"/>
      <c r="TF59" s="50"/>
      <c r="TG59" s="50"/>
      <c r="TH59" s="50"/>
      <c r="TI59" s="50"/>
      <c r="TJ59" s="50"/>
      <c r="TK59" s="50"/>
      <c r="TL59" s="50"/>
      <c r="TM59" s="50"/>
      <c r="TN59" s="50"/>
      <c r="TO59" s="50"/>
      <c r="TP59" s="50"/>
      <c r="TQ59" s="50"/>
      <c r="TR59" s="50"/>
      <c r="TS59" s="50"/>
      <c r="TT59" s="50"/>
      <c r="TU59" s="50"/>
      <c r="TV59" s="50"/>
      <c r="TW59" s="50"/>
      <c r="TX59" s="50"/>
      <c r="TY59" s="50"/>
      <c r="TZ59" s="50"/>
      <c r="UA59" s="50"/>
      <c r="UB59" s="50"/>
      <c r="UC59" s="50"/>
      <c r="UD59" s="50"/>
      <c r="UE59" s="50"/>
      <c r="UF59" s="50"/>
      <c r="UG59" s="50"/>
      <c r="UH59" s="50"/>
      <c r="UI59" s="50"/>
      <c r="UJ59" s="50"/>
      <c r="UK59" s="50"/>
      <c r="UL59" s="50"/>
      <c r="UM59" s="50"/>
      <c r="UN59" s="50"/>
      <c r="UO59" s="50"/>
      <c r="UP59" s="50"/>
      <c r="UQ59" s="50"/>
      <c r="UR59" s="50"/>
      <c r="US59" s="50"/>
      <c r="UT59" s="50"/>
      <c r="UU59" s="50"/>
      <c r="UV59" s="50"/>
      <c r="UW59" s="50"/>
      <c r="UX59" s="50"/>
      <c r="UY59" s="50"/>
      <c r="UZ59" s="50"/>
      <c r="VA59" s="50"/>
      <c r="VB59" s="50"/>
      <c r="VC59" s="50"/>
      <c r="VD59" s="50"/>
      <c r="VE59" s="50"/>
      <c r="VF59" s="50"/>
      <c r="VG59" s="50"/>
      <c r="VH59" s="50"/>
      <c r="VI59" s="50"/>
      <c r="VJ59" s="50"/>
      <c r="VK59" s="50"/>
      <c r="VL59" s="50"/>
      <c r="VM59" s="50"/>
      <c r="VN59" s="50"/>
      <c r="VO59" s="50"/>
      <c r="VP59" s="50"/>
      <c r="VQ59" s="50"/>
      <c r="VR59" s="50"/>
      <c r="VS59" s="50"/>
      <c r="VT59" s="50"/>
      <c r="VU59" s="50"/>
      <c r="VV59" s="50"/>
      <c r="VW59" s="50"/>
      <c r="VX59" s="50"/>
      <c r="VY59" s="50"/>
      <c r="VZ59" s="50"/>
      <c r="WA59" s="50"/>
      <c r="WB59" s="50"/>
      <c r="WC59" s="50"/>
      <c r="WD59" s="50"/>
      <c r="WE59" s="50"/>
      <c r="WF59" s="50"/>
      <c r="WG59" s="50"/>
      <c r="WH59" s="50"/>
      <c r="WI59" s="50"/>
      <c r="WJ59" s="50"/>
      <c r="WK59" s="50"/>
      <c r="WL59" s="50"/>
      <c r="WM59" s="50"/>
      <c r="WN59" s="50"/>
      <c r="WO59" s="50"/>
      <c r="WP59" s="50"/>
      <c r="WQ59" s="50"/>
      <c r="WR59" s="50"/>
      <c r="WS59" s="50"/>
      <c r="WT59" s="50"/>
      <c r="WU59" s="50"/>
      <c r="WV59" s="50"/>
      <c r="WW59" s="50"/>
      <c r="WX59" s="50"/>
      <c r="WY59" s="50"/>
      <c r="WZ59" s="50"/>
      <c r="XA59" s="50"/>
      <c r="XB59" s="50"/>
      <c r="XC59" s="50"/>
      <c r="XD59" s="50"/>
      <c r="XE59" s="50"/>
      <c r="XF59" s="50"/>
      <c r="XG59" s="50"/>
      <c r="XH59" s="50"/>
      <c r="XI59" s="50"/>
      <c r="XJ59" s="50"/>
      <c r="XK59" s="50"/>
      <c r="XL59" s="50"/>
      <c r="XM59" s="50"/>
      <c r="XN59" s="50"/>
      <c r="XO59" s="50"/>
      <c r="XP59" s="50"/>
      <c r="XQ59" s="50"/>
      <c r="XR59" s="50"/>
      <c r="XS59" s="50"/>
      <c r="XT59" s="50"/>
      <c r="XU59" s="50"/>
      <c r="XV59" s="50"/>
      <c r="XW59" s="50"/>
      <c r="XX59" s="50"/>
      <c r="XY59" s="50"/>
      <c r="XZ59" s="50"/>
      <c r="YA59" s="50"/>
      <c r="YB59" s="50"/>
      <c r="YC59" s="50"/>
      <c r="YD59" s="50"/>
      <c r="YE59" s="50"/>
      <c r="YF59" s="50"/>
      <c r="YG59" s="50"/>
      <c r="YH59" s="50"/>
      <c r="YI59" s="50"/>
      <c r="YJ59" s="50"/>
      <c r="YK59" s="50"/>
      <c r="YL59" s="50"/>
      <c r="YM59" s="50"/>
      <c r="YN59" s="50"/>
      <c r="YO59" s="50"/>
      <c r="YP59" s="50"/>
      <c r="YQ59" s="50"/>
      <c r="YR59" s="50"/>
      <c r="YS59" s="50"/>
      <c r="YT59" s="50"/>
      <c r="YU59" s="50"/>
      <c r="YV59" s="50"/>
      <c r="YW59" s="50"/>
      <c r="YX59" s="50"/>
      <c r="YY59" s="50"/>
      <c r="YZ59" s="50"/>
      <c r="ZA59" s="50"/>
      <c r="ZB59" s="50"/>
      <c r="ZC59" s="50"/>
      <c r="ZD59" s="50"/>
      <c r="ZE59" s="50"/>
      <c r="ZF59" s="50"/>
      <c r="ZG59" s="50"/>
      <c r="ZH59" s="50"/>
      <c r="ZI59" s="50"/>
      <c r="ZJ59" s="50"/>
      <c r="ZK59" s="50"/>
      <c r="ZL59" s="50"/>
      <c r="ZM59" s="50"/>
      <c r="ZN59" s="50"/>
      <c r="ZO59" s="50"/>
      <c r="ZP59" s="50"/>
      <c r="ZQ59" s="50"/>
      <c r="ZR59" s="50"/>
      <c r="ZS59" s="50"/>
      <c r="ZT59" s="50"/>
      <c r="ZU59" s="50"/>
      <c r="ZV59" s="50"/>
      <c r="ZW59" s="50"/>
      <c r="ZX59" s="50"/>
      <c r="ZY59" s="50"/>
      <c r="ZZ59" s="50"/>
      <c r="AAA59" s="50"/>
      <c r="AAB59" s="50"/>
      <c r="AAC59" s="50"/>
      <c r="AAD59" s="50"/>
      <c r="AAE59" s="50"/>
      <c r="AAF59" s="50"/>
      <c r="AAG59" s="50"/>
      <c r="AAH59" s="50"/>
      <c r="AAI59" s="50"/>
      <c r="AAJ59" s="50"/>
      <c r="AAK59" s="50"/>
      <c r="AAL59" s="50"/>
      <c r="AAM59" s="50"/>
      <c r="AAN59" s="50"/>
      <c r="AAO59" s="50"/>
      <c r="AAP59" s="50"/>
      <c r="AAQ59" s="50"/>
      <c r="AAR59" s="50"/>
      <c r="AAS59" s="50"/>
      <c r="AAT59" s="50"/>
      <c r="AAU59" s="50"/>
      <c r="AAV59" s="50"/>
      <c r="AAW59" s="50"/>
      <c r="AAX59" s="50"/>
      <c r="AAY59" s="50"/>
      <c r="AAZ59" s="50"/>
      <c r="ABA59" s="50"/>
      <c r="ABB59" s="50"/>
      <c r="ABC59" s="50"/>
      <c r="ABD59" s="50"/>
      <c r="ABE59" s="50"/>
      <c r="ABF59" s="50"/>
      <c r="ABG59" s="50"/>
      <c r="ABH59" s="50"/>
      <c r="ABI59" s="50"/>
      <c r="ABJ59" s="50"/>
      <c r="ABK59" s="50"/>
      <c r="ABL59" s="50"/>
      <c r="ABM59" s="50"/>
      <c r="ABN59" s="50"/>
      <c r="ABO59" s="50"/>
      <c r="ABP59" s="50"/>
      <c r="ABQ59" s="50"/>
      <c r="ABR59" s="50"/>
      <c r="ABS59" s="50"/>
      <c r="ABT59" s="50"/>
      <c r="ABU59" s="50"/>
      <c r="ABV59" s="50"/>
      <c r="ABW59" s="50"/>
      <c r="ABX59" s="50"/>
      <c r="ABY59" s="50"/>
      <c r="ABZ59" s="50"/>
      <c r="ACA59" s="50"/>
      <c r="ACB59" s="50"/>
      <c r="ACC59" s="50"/>
      <c r="ACD59" s="50"/>
      <c r="ACE59" s="50"/>
      <c r="ACF59" s="50"/>
      <c r="ACG59" s="50"/>
      <c r="ACH59" s="50"/>
      <c r="ACI59" s="50"/>
      <c r="ACJ59" s="50"/>
      <c r="ACK59" s="50"/>
      <c r="ACL59" s="50"/>
      <c r="ACM59" s="50"/>
      <c r="ACN59" s="50"/>
      <c r="ACO59" s="50"/>
      <c r="ACP59" s="50"/>
      <c r="ACQ59" s="50"/>
      <c r="ACR59" s="50"/>
      <c r="ACS59" s="50"/>
      <c r="ACT59" s="50"/>
      <c r="ACU59" s="50"/>
      <c r="ACV59" s="50"/>
      <c r="ACW59" s="50"/>
      <c r="ACX59" s="50"/>
      <c r="ACY59" s="50"/>
      <c r="ACZ59" s="50"/>
      <c r="ADA59" s="50"/>
      <c r="ADB59" s="50"/>
      <c r="ADC59" s="50"/>
      <c r="ADD59" s="50"/>
      <c r="ADE59" s="50"/>
      <c r="ADF59" s="50"/>
      <c r="ADG59" s="50"/>
      <c r="ADH59" s="50"/>
      <c r="ADI59" s="50"/>
      <c r="ADJ59" s="50"/>
      <c r="ADK59" s="50"/>
      <c r="ADL59" s="50"/>
      <c r="ADM59" s="50"/>
      <c r="ADN59" s="50"/>
      <c r="ADO59" s="50"/>
      <c r="ADP59" s="50"/>
      <c r="ADQ59" s="50"/>
      <c r="ADR59" s="50"/>
      <c r="ADS59" s="50"/>
      <c r="ADT59" s="50"/>
      <c r="ADU59" s="50"/>
      <c r="ADV59" s="50"/>
      <c r="ADW59" s="50"/>
      <c r="ADX59" s="50"/>
      <c r="ADY59" s="50"/>
      <c r="ADZ59" s="50"/>
      <c r="AEA59" s="50"/>
      <c r="AEB59" s="50"/>
      <c r="AEC59" s="50"/>
      <c r="AED59" s="50"/>
      <c r="AEE59" s="50"/>
      <c r="AEF59" s="50"/>
      <c r="AEG59" s="50"/>
      <c r="AEH59" s="50"/>
      <c r="AEI59" s="50"/>
      <c r="AEJ59" s="50"/>
      <c r="AEK59" s="50"/>
      <c r="AEL59" s="50"/>
      <c r="AEM59" s="50"/>
      <c r="AEN59" s="50"/>
      <c r="AEO59" s="50"/>
      <c r="AEP59" s="50"/>
      <c r="AEQ59" s="50"/>
      <c r="AER59" s="50"/>
    </row>
    <row r="60" spans="1:824" s="51" customFormat="1" ht="54.95" customHeight="1" x14ac:dyDescent="0.3">
      <c r="A60" s="44">
        <v>30</v>
      </c>
      <c r="B60" s="47" t="s">
        <v>182</v>
      </c>
      <c r="C60" s="44">
        <v>3223004702</v>
      </c>
      <c r="D60" s="40" t="s">
        <v>95</v>
      </c>
      <c r="E60" s="35" t="s">
        <v>183</v>
      </c>
      <c r="F60" s="44" t="s">
        <v>72</v>
      </c>
      <c r="G60" s="35" t="s">
        <v>136</v>
      </c>
      <c r="H60" s="38">
        <v>29.7</v>
      </c>
      <c r="I60" s="39">
        <v>27</v>
      </c>
      <c r="J60" s="39">
        <f>10346138.45/1000</f>
        <v>10346.138449999999</v>
      </c>
      <c r="K60" s="39">
        <v>11148</v>
      </c>
      <c r="L60" s="39">
        <v>9759.6</v>
      </c>
      <c r="M60" s="38">
        <v>11348</v>
      </c>
      <c r="N60" s="38">
        <f>237110.14/1000</f>
        <v>237.11014</v>
      </c>
      <c r="O60" s="38">
        <v>320</v>
      </c>
      <c r="P60" s="38">
        <v>223.6</v>
      </c>
      <c r="Q60" s="38">
        <v>320</v>
      </c>
      <c r="R60" s="38">
        <v>2630.1</v>
      </c>
      <c r="S60" s="38">
        <f>12946/10000</f>
        <v>1.2946</v>
      </c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  <c r="NW60" s="50"/>
      <c r="NX60" s="50"/>
      <c r="NY60" s="50"/>
      <c r="NZ60" s="50"/>
      <c r="OA60" s="50"/>
      <c r="OB60" s="50"/>
      <c r="OC60" s="50"/>
      <c r="OD60" s="50"/>
      <c r="OE60" s="50"/>
      <c r="OF60" s="50"/>
      <c r="OG60" s="50"/>
      <c r="OH60" s="50"/>
      <c r="OI60" s="50"/>
      <c r="OJ60" s="50"/>
      <c r="OK60" s="50"/>
      <c r="OL60" s="50"/>
      <c r="OM60" s="50"/>
      <c r="ON60" s="50"/>
      <c r="OO60" s="50"/>
      <c r="OP60" s="50"/>
      <c r="OQ60" s="50"/>
      <c r="OR60" s="50"/>
      <c r="OS60" s="50"/>
      <c r="OT60" s="50"/>
      <c r="OU60" s="50"/>
      <c r="OV60" s="50"/>
      <c r="OW60" s="50"/>
      <c r="OX60" s="50"/>
      <c r="OY60" s="50"/>
      <c r="OZ60" s="50"/>
      <c r="PA60" s="50"/>
      <c r="PB60" s="50"/>
      <c r="PC60" s="50"/>
      <c r="PD60" s="50"/>
      <c r="PE60" s="50"/>
      <c r="PF60" s="50"/>
      <c r="PG60" s="50"/>
      <c r="PH60" s="50"/>
      <c r="PI60" s="50"/>
      <c r="PJ60" s="50"/>
      <c r="PK60" s="50"/>
      <c r="PL60" s="50"/>
      <c r="PM60" s="50"/>
      <c r="PN60" s="50"/>
      <c r="PO60" s="50"/>
      <c r="PP60" s="50"/>
      <c r="PQ60" s="50"/>
      <c r="PR60" s="50"/>
      <c r="PS60" s="50"/>
      <c r="PT60" s="50"/>
      <c r="PU60" s="50"/>
      <c r="PV60" s="50"/>
      <c r="PW60" s="50"/>
      <c r="PX60" s="50"/>
      <c r="PY60" s="50"/>
      <c r="PZ60" s="50"/>
      <c r="QA60" s="50"/>
      <c r="QB60" s="50"/>
      <c r="QC60" s="50"/>
      <c r="QD60" s="50"/>
      <c r="QE60" s="50"/>
      <c r="QF60" s="50"/>
      <c r="QG60" s="50"/>
      <c r="QH60" s="50"/>
      <c r="QI60" s="50"/>
      <c r="QJ60" s="50"/>
      <c r="QK60" s="50"/>
      <c r="QL60" s="50"/>
      <c r="QM60" s="50"/>
      <c r="QN60" s="50"/>
      <c r="QO60" s="50"/>
      <c r="QP60" s="50"/>
      <c r="QQ60" s="50"/>
      <c r="QR60" s="50"/>
      <c r="QS60" s="50"/>
      <c r="QT60" s="50"/>
      <c r="QU60" s="50"/>
      <c r="QV60" s="50"/>
      <c r="QW60" s="50"/>
      <c r="QX60" s="50"/>
      <c r="QY60" s="50"/>
      <c r="QZ60" s="50"/>
      <c r="RA60" s="50"/>
      <c r="RB60" s="50"/>
      <c r="RC60" s="50"/>
      <c r="RD60" s="50"/>
      <c r="RE60" s="50"/>
      <c r="RF60" s="50"/>
      <c r="RG60" s="50"/>
      <c r="RH60" s="50"/>
      <c r="RI60" s="50"/>
      <c r="RJ60" s="50"/>
      <c r="RK60" s="50"/>
      <c r="RL60" s="50"/>
      <c r="RM60" s="50"/>
      <c r="RN60" s="50"/>
      <c r="RO60" s="50"/>
      <c r="RP60" s="50"/>
      <c r="RQ60" s="50"/>
      <c r="RR60" s="50"/>
      <c r="RS60" s="50"/>
      <c r="RT60" s="50"/>
      <c r="RU60" s="50"/>
      <c r="RV60" s="50"/>
      <c r="RW60" s="50"/>
      <c r="RX60" s="50"/>
      <c r="RY60" s="50"/>
      <c r="RZ60" s="50"/>
      <c r="SA60" s="50"/>
      <c r="SB60" s="50"/>
      <c r="SC60" s="50"/>
      <c r="SD60" s="50"/>
      <c r="SE60" s="50"/>
      <c r="SF60" s="50"/>
      <c r="SG60" s="50"/>
      <c r="SH60" s="50"/>
      <c r="SI60" s="50"/>
      <c r="SJ60" s="50"/>
      <c r="SK60" s="50"/>
      <c r="SL60" s="50"/>
      <c r="SM60" s="50"/>
      <c r="SN60" s="50"/>
      <c r="SO60" s="50"/>
      <c r="SP60" s="50"/>
      <c r="SQ60" s="50"/>
      <c r="SR60" s="50"/>
      <c r="SS60" s="50"/>
      <c r="ST60" s="50"/>
      <c r="SU60" s="50"/>
      <c r="SV60" s="50"/>
      <c r="SW60" s="50"/>
      <c r="SX60" s="50"/>
      <c r="SY60" s="50"/>
      <c r="SZ60" s="50"/>
      <c r="TA60" s="50"/>
      <c r="TB60" s="50"/>
      <c r="TC60" s="50"/>
      <c r="TD60" s="50"/>
      <c r="TE60" s="50"/>
      <c r="TF60" s="50"/>
      <c r="TG60" s="50"/>
      <c r="TH60" s="50"/>
      <c r="TI60" s="50"/>
      <c r="TJ60" s="50"/>
      <c r="TK60" s="50"/>
      <c r="TL60" s="50"/>
      <c r="TM60" s="50"/>
      <c r="TN60" s="50"/>
      <c r="TO60" s="50"/>
      <c r="TP60" s="50"/>
      <c r="TQ60" s="50"/>
      <c r="TR60" s="50"/>
      <c r="TS60" s="50"/>
      <c r="TT60" s="50"/>
      <c r="TU60" s="50"/>
      <c r="TV60" s="50"/>
      <c r="TW60" s="50"/>
      <c r="TX60" s="50"/>
      <c r="TY60" s="50"/>
      <c r="TZ60" s="50"/>
      <c r="UA60" s="50"/>
      <c r="UB60" s="50"/>
      <c r="UC60" s="50"/>
      <c r="UD60" s="50"/>
      <c r="UE60" s="50"/>
      <c r="UF60" s="50"/>
      <c r="UG60" s="50"/>
      <c r="UH60" s="50"/>
      <c r="UI60" s="50"/>
      <c r="UJ60" s="50"/>
      <c r="UK60" s="50"/>
      <c r="UL60" s="50"/>
      <c r="UM60" s="50"/>
      <c r="UN60" s="50"/>
      <c r="UO60" s="50"/>
      <c r="UP60" s="50"/>
      <c r="UQ60" s="50"/>
      <c r="UR60" s="50"/>
      <c r="US60" s="50"/>
      <c r="UT60" s="50"/>
      <c r="UU60" s="50"/>
      <c r="UV60" s="50"/>
      <c r="UW60" s="50"/>
      <c r="UX60" s="50"/>
      <c r="UY60" s="50"/>
      <c r="UZ60" s="50"/>
      <c r="VA60" s="50"/>
      <c r="VB60" s="50"/>
      <c r="VC60" s="50"/>
      <c r="VD60" s="50"/>
      <c r="VE60" s="50"/>
      <c r="VF60" s="50"/>
      <c r="VG60" s="50"/>
      <c r="VH60" s="50"/>
      <c r="VI60" s="50"/>
      <c r="VJ60" s="50"/>
      <c r="VK60" s="50"/>
      <c r="VL60" s="50"/>
      <c r="VM60" s="50"/>
      <c r="VN60" s="50"/>
      <c r="VO60" s="50"/>
      <c r="VP60" s="50"/>
      <c r="VQ60" s="50"/>
      <c r="VR60" s="50"/>
      <c r="VS60" s="50"/>
      <c r="VT60" s="50"/>
      <c r="VU60" s="50"/>
      <c r="VV60" s="50"/>
      <c r="VW60" s="50"/>
      <c r="VX60" s="50"/>
      <c r="VY60" s="50"/>
      <c r="VZ60" s="50"/>
      <c r="WA60" s="50"/>
      <c r="WB60" s="50"/>
      <c r="WC60" s="50"/>
      <c r="WD60" s="50"/>
      <c r="WE60" s="50"/>
      <c r="WF60" s="50"/>
      <c r="WG60" s="50"/>
      <c r="WH60" s="50"/>
      <c r="WI60" s="50"/>
      <c r="WJ60" s="50"/>
      <c r="WK60" s="50"/>
      <c r="WL60" s="50"/>
      <c r="WM60" s="50"/>
      <c r="WN60" s="50"/>
      <c r="WO60" s="50"/>
      <c r="WP60" s="50"/>
      <c r="WQ60" s="50"/>
      <c r="WR60" s="50"/>
      <c r="WS60" s="50"/>
      <c r="WT60" s="50"/>
      <c r="WU60" s="50"/>
      <c r="WV60" s="50"/>
      <c r="WW60" s="50"/>
      <c r="WX60" s="50"/>
      <c r="WY60" s="50"/>
      <c r="WZ60" s="50"/>
      <c r="XA60" s="50"/>
      <c r="XB60" s="50"/>
      <c r="XC60" s="50"/>
      <c r="XD60" s="50"/>
      <c r="XE60" s="50"/>
      <c r="XF60" s="50"/>
      <c r="XG60" s="50"/>
      <c r="XH60" s="50"/>
      <c r="XI60" s="50"/>
      <c r="XJ60" s="50"/>
      <c r="XK60" s="50"/>
      <c r="XL60" s="50"/>
      <c r="XM60" s="50"/>
      <c r="XN60" s="50"/>
      <c r="XO60" s="50"/>
      <c r="XP60" s="50"/>
      <c r="XQ60" s="50"/>
      <c r="XR60" s="50"/>
      <c r="XS60" s="50"/>
      <c r="XT60" s="50"/>
      <c r="XU60" s="50"/>
      <c r="XV60" s="50"/>
      <c r="XW60" s="50"/>
      <c r="XX60" s="50"/>
      <c r="XY60" s="50"/>
      <c r="XZ60" s="50"/>
      <c r="YA60" s="50"/>
      <c r="YB60" s="50"/>
      <c r="YC60" s="50"/>
      <c r="YD60" s="50"/>
      <c r="YE60" s="50"/>
      <c r="YF60" s="50"/>
      <c r="YG60" s="50"/>
      <c r="YH60" s="50"/>
      <c r="YI60" s="50"/>
      <c r="YJ60" s="50"/>
      <c r="YK60" s="50"/>
      <c r="YL60" s="50"/>
      <c r="YM60" s="50"/>
      <c r="YN60" s="50"/>
      <c r="YO60" s="50"/>
      <c r="YP60" s="50"/>
      <c r="YQ60" s="50"/>
      <c r="YR60" s="50"/>
      <c r="YS60" s="50"/>
      <c r="YT60" s="50"/>
      <c r="YU60" s="50"/>
      <c r="YV60" s="50"/>
      <c r="YW60" s="50"/>
      <c r="YX60" s="50"/>
      <c r="YY60" s="50"/>
      <c r="YZ60" s="50"/>
      <c r="ZA60" s="50"/>
      <c r="ZB60" s="50"/>
      <c r="ZC60" s="50"/>
      <c r="ZD60" s="50"/>
      <c r="ZE60" s="50"/>
      <c r="ZF60" s="50"/>
      <c r="ZG60" s="50"/>
      <c r="ZH60" s="50"/>
      <c r="ZI60" s="50"/>
      <c r="ZJ60" s="50"/>
      <c r="ZK60" s="50"/>
      <c r="ZL60" s="50"/>
      <c r="ZM60" s="50"/>
      <c r="ZN60" s="50"/>
      <c r="ZO60" s="50"/>
      <c r="ZP60" s="50"/>
      <c r="ZQ60" s="50"/>
      <c r="ZR60" s="50"/>
      <c r="ZS60" s="50"/>
      <c r="ZT60" s="50"/>
      <c r="ZU60" s="50"/>
      <c r="ZV60" s="50"/>
      <c r="ZW60" s="50"/>
      <c r="ZX60" s="50"/>
      <c r="ZY60" s="50"/>
      <c r="ZZ60" s="50"/>
      <c r="AAA60" s="50"/>
      <c r="AAB60" s="50"/>
      <c r="AAC60" s="50"/>
      <c r="AAD60" s="50"/>
      <c r="AAE60" s="50"/>
      <c r="AAF60" s="50"/>
      <c r="AAG60" s="50"/>
      <c r="AAH60" s="50"/>
      <c r="AAI60" s="50"/>
      <c r="AAJ60" s="50"/>
      <c r="AAK60" s="50"/>
      <c r="AAL60" s="50"/>
      <c r="AAM60" s="50"/>
      <c r="AAN60" s="50"/>
      <c r="AAO60" s="50"/>
      <c r="AAP60" s="50"/>
      <c r="AAQ60" s="50"/>
      <c r="AAR60" s="50"/>
      <c r="AAS60" s="50"/>
      <c r="AAT60" s="50"/>
      <c r="AAU60" s="50"/>
      <c r="AAV60" s="50"/>
      <c r="AAW60" s="50"/>
      <c r="AAX60" s="50"/>
      <c r="AAY60" s="50"/>
      <c r="AAZ60" s="50"/>
      <c r="ABA60" s="50"/>
      <c r="ABB60" s="50"/>
      <c r="ABC60" s="50"/>
      <c r="ABD60" s="50"/>
      <c r="ABE60" s="50"/>
      <c r="ABF60" s="50"/>
      <c r="ABG60" s="50"/>
      <c r="ABH60" s="50"/>
      <c r="ABI60" s="50"/>
      <c r="ABJ60" s="50"/>
      <c r="ABK60" s="50"/>
      <c r="ABL60" s="50"/>
      <c r="ABM60" s="50"/>
      <c r="ABN60" s="50"/>
      <c r="ABO60" s="50"/>
      <c r="ABP60" s="50"/>
      <c r="ABQ60" s="50"/>
      <c r="ABR60" s="50"/>
      <c r="ABS60" s="50"/>
      <c r="ABT60" s="50"/>
      <c r="ABU60" s="50"/>
      <c r="ABV60" s="50"/>
      <c r="ABW60" s="50"/>
      <c r="ABX60" s="50"/>
      <c r="ABY60" s="50"/>
      <c r="ABZ60" s="50"/>
      <c r="ACA60" s="50"/>
      <c r="ACB60" s="50"/>
      <c r="ACC60" s="50"/>
      <c r="ACD60" s="50"/>
      <c r="ACE60" s="50"/>
      <c r="ACF60" s="50"/>
      <c r="ACG60" s="50"/>
      <c r="ACH60" s="50"/>
      <c r="ACI60" s="50"/>
      <c r="ACJ60" s="50"/>
      <c r="ACK60" s="50"/>
      <c r="ACL60" s="50"/>
      <c r="ACM60" s="50"/>
      <c r="ACN60" s="50"/>
      <c r="ACO60" s="50"/>
      <c r="ACP60" s="50"/>
      <c r="ACQ60" s="50"/>
      <c r="ACR60" s="50"/>
      <c r="ACS60" s="50"/>
      <c r="ACT60" s="50"/>
      <c r="ACU60" s="50"/>
      <c r="ACV60" s="50"/>
      <c r="ACW60" s="50"/>
      <c r="ACX60" s="50"/>
      <c r="ACY60" s="50"/>
      <c r="ACZ60" s="50"/>
      <c r="ADA60" s="50"/>
      <c r="ADB60" s="50"/>
      <c r="ADC60" s="50"/>
      <c r="ADD60" s="50"/>
      <c r="ADE60" s="50"/>
      <c r="ADF60" s="50"/>
      <c r="ADG60" s="50"/>
      <c r="ADH60" s="50"/>
      <c r="ADI60" s="50"/>
      <c r="ADJ60" s="50"/>
      <c r="ADK60" s="50"/>
      <c r="ADL60" s="50"/>
      <c r="ADM60" s="50"/>
      <c r="ADN60" s="50"/>
      <c r="ADO60" s="50"/>
      <c r="ADP60" s="50"/>
      <c r="ADQ60" s="50"/>
      <c r="ADR60" s="50"/>
      <c r="ADS60" s="50"/>
      <c r="ADT60" s="50"/>
      <c r="ADU60" s="50"/>
      <c r="ADV60" s="50"/>
      <c r="ADW60" s="50"/>
      <c r="ADX60" s="50"/>
      <c r="ADY60" s="50"/>
      <c r="ADZ60" s="50"/>
      <c r="AEA60" s="50"/>
      <c r="AEB60" s="50"/>
      <c r="AEC60" s="50"/>
      <c r="AED60" s="50"/>
      <c r="AEE60" s="50"/>
      <c r="AEF60" s="50"/>
      <c r="AEG60" s="50"/>
      <c r="AEH60" s="50"/>
      <c r="AEI60" s="50"/>
      <c r="AEJ60" s="50"/>
      <c r="AEK60" s="50"/>
      <c r="AEL60" s="50"/>
      <c r="AEM60" s="50"/>
      <c r="AEN60" s="50"/>
      <c r="AEO60" s="50"/>
      <c r="AEP60" s="50"/>
      <c r="AEQ60" s="50"/>
      <c r="AER60" s="50"/>
    </row>
    <row r="61" spans="1:824" s="51" customFormat="1" ht="54.95" customHeight="1" x14ac:dyDescent="0.3">
      <c r="A61" s="44">
        <v>31</v>
      </c>
      <c r="B61" s="47" t="s">
        <v>184</v>
      </c>
      <c r="C61" s="44">
        <v>3223004251</v>
      </c>
      <c r="D61" s="40" t="s">
        <v>95</v>
      </c>
      <c r="E61" s="35" t="s">
        <v>185</v>
      </c>
      <c r="F61" s="44" t="s">
        <v>73</v>
      </c>
      <c r="G61" s="35" t="s">
        <v>157</v>
      </c>
      <c r="H61" s="38">
        <v>16.100000000000001</v>
      </c>
      <c r="I61" s="39">
        <v>17</v>
      </c>
      <c r="J61" s="39">
        <f>4869563.11/1000</f>
        <v>4869.5631100000001</v>
      </c>
      <c r="K61" s="39">
        <v>5189.5</v>
      </c>
      <c r="L61" s="39">
        <v>4569</v>
      </c>
      <c r="M61" s="38">
        <v>5289</v>
      </c>
      <c r="N61" s="38">
        <f>25250/1000</f>
        <v>25.25</v>
      </c>
      <c r="O61" s="38">
        <v>50</v>
      </c>
      <c r="P61" s="38">
        <v>47</v>
      </c>
      <c r="Q61" s="38">
        <v>50</v>
      </c>
      <c r="R61" s="38">
        <v>1467.4</v>
      </c>
      <c r="S61" s="38">
        <f>13384/10000</f>
        <v>1.3384</v>
      </c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  <c r="NX61" s="50"/>
      <c r="NY61" s="50"/>
      <c r="NZ61" s="50"/>
      <c r="OA61" s="50"/>
      <c r="OB61" s="50"/>
      <c r="OC61" s="50"/>
      <c r="OD61" s="50"/>
      <c r="OE61" s="50"/>
      <c r="OF61" s="50"/>
      <c r="OG61" s="50"/>
      <c r="OH61" s="50"/>
      <c r="OI61" s="50"/>
      <c r="OJ61" s="50"/>
      <c r="OK61" s="50"/>
      <c r="OL61" s="50"/>
      <c r="OM61" s="50"/>
      <c r="ON61" s="50"/>
      <c r="OO61" s="50"/>
      <c r="OP61" s="50"/>
      <c r="OQ61" s="50"/>
      <c r="OR61" s="50"/>
      <c r="OS61" s="50"/>
      <c r="OT61" s="50"/>
      <c r="OU61" s="50"/>
      <c r="OV61" s="50"/>
      <c r="OW61" s="50"/>
      <c r="OX61" s="50"/>
      <c r="OY61" s="50"/>
      <c r="OZ61" s="50"/>
      <c r="PA61" s="50"/>
      <c r="PB61" s="50"/>
      <c r="PC61" s="50"/>
      <c r="PD61" s="50"/>
      <c r="PE61" s="50"/>
      <c r="PF61" s="50"/>
      <c r="PG61" s="50"/>
      <c r="PH61" s="50"/>
      <c r="PI61" s="50"/>
      <c r="PJ61" s="50"/>
      <c r="PK61" s="50"/>
      <c r="PL61" s="50"/>
      <c r="PM61" s="50"/>
      <c r="PN61" s="50"/>
      <c r="PO61" s="50"/>
      <c r="PP61" s="50"/>
      <c r="PQ61" s="50"/>
      <c r="PR61" s="50"/>
      <c r="PS61" s="50"/>
      <c r="PT61" s="50"/>
      <c r="PU61" s="50"/>
      <c r="PV61" s="50"/>
      <c r="PW61" s="50"/>
      <c r="PX61" s="50"/>
      <c r="PY61" s="50"/>
      <c r="PZ61" s="50"/>
      <c r="QA61" s="50"/>
      <c r="QB61" s="50"/>
      <c r="QC61" s="50"/>
      <c r="QD61" s="50"/>
      <c r="QE61" s="50"/>
      <c r="QF61" s="50"/>
      <c r="QG61" s="50"/>
      <c r="QH61" s="50"/>
      <c r="QI61" s="50"/>
      <c r="QJ61" s="50"/>
      <c r="QK61" s="50"/>
      <c r="QL61" s="50"/>
      <c r="QM61" s="50"/>
      <c r="QN61" s="50"/>
      <c r="QO61" s="50"/>
      <c r="QP61" s="50"/>
      <c r="QQ61" s="50"/>
      <c r="QR61" s="50"/>
      <c r="QS61" s="50"/>
      <c r="QT61" s="50"/>
      <c r="QU61" s="50"/>
      <c r="QV61" s="50"/>
      <c r="QW61" s="50"/>
      <c r="QX61" s="50"/>
      <c r="QY61" s="50"/>
      <c r="QZ61" s="50"/>
      <c r="RA61" s="50"/>
      <c r="RB61" s="50"/>
      <c r="RC61" s="50"/>
      <c r="RD61" s="50"/>
      <c r="RE61" s="50"/>
      <c r="RF61" s="50"/>
      <c r="RG61" s="50"/>
      <c r="RH61" s="50"/>
      <c r="RI61" s="50"/>
      <c r="RJ61" s="50"/>
      <c r="RK61" s="50"/>
      <c r="RL61" s="50"/>
      <c r="RM61" s="50"/>
      <c r="RN61" s="50"/>
      <c r="RO61" s="50"/>
      <c r="RP61" s="50"/>
      <c r="RQ61" s="50"/>
      <c r="RR61" s="50"/>
      <c r="RS61" s="50"/>
      <c r="RT61" s="50"/>
      <c r="RU61" s="50"/>
      <c r="RV61" s="50"/>
      <c r="RW61" s="50"/>
      <c r="RX61" s="50"/>
      <c r="RY61" s="50"/>
      <c r="RZ61" s="50"/>
      <c r="SA61" s="50"/>
      <c r="SB61" s="50"/>
      <c r="SC61" s="50"/>
      <c r="SD61" s="50"/>
      <c r="SE61" s="50"/>
      <c r="SF61" s="50"/>
      <c r="SG61" s="50"/>
      <c r="SH61" s="50"/>
      <c r="SI61" s="50"/>
      <c r="SJ61" s="50"/>
      <c r="SK61" s="50"/>
      <c r="SL61" s="50"/>
      <c r="SM61" s="50"/>
      <c r="SN61" s="50"/>
      <c r="SO61" s="50"/>
      <c r="SP61" s="50"/>
      <c r="SQ61" s="50"/>
      <c r="SR61" s="50"/>
      <c r="SS61" s="50"/>
      <c r="ST61" s="50"/>
      <c r="SU61" s="50"/>
      <c r="SV61" s="50"/>
      <c r="SW61" s="50"/>
      <c r="SX61" s="50"/>
      <c r="SY61" s="50"/>
      <c r="SZ61" s="50"/>
      <c r="TA61" s="50"/>
      <c r="TB61" s="50"/>
      <c r="TC61" s="50"/>
      <c r="TD61" s="50"/>
      <c r="TE61" s="50"/>
      <c r="TF61" s="50"/>
      <c r="TG61" s="50"/>
      <c r="TH61" s="50"/>
      <c r="TI61" s="50"/>
      <c r="TJ61" s="50"/>
      <c r="TK61" s="50"/>
      <c r="TL61" s="50"/>
      <c r="TM61" s="50"/>
      <c r="TN61" s="50"/>
      <c r="TO61" s="50"/>
      <c r="TP61" s="50"/>
      <c r="TQ61" s="50"/>
      <c r="TR61" s="50"/>
      <c r="TS61" s="50"/>
      <c r="TT61" s="50"/>
      <c r="TU61" s="50"/>
      <c r="TV61" s="50"/>
      <c r="TW61" s="50"/>
      <c r="TX61" s="50"/>
      <c r="TY61" s="50"/>
      <c r="TZ61" s="50"/>
      <c r="UA61" s="50"/>
      <c r="UB61" s="50"/>
      <c r="UC61" s="50"/>
      <c r="UD61" s="50"/>
      <c r="UE61" s="50"/>
      <c r="UF61" s="50"/>
      <c r="UG61" s="50"/>
      <c r="UH61" s="50"/>
      <c r="UI61" s="50"/>
      <c r="UJ61" s="50"/>
      <c r="UK61" s="50"/>
      <c r="UL61" s="50"/>
      <c r="UM61" s="50"/>
      <c r="UN61" s="50"/>
      <c r="UO61" s="50"/>
      <c r="UP61" s="50"/>
      <c r="UQ61" s="50"/>
      <c r="UR61" s="50"/>
      <c r="US61" s="50"/>
      <c r="UT61" s="50"/>
      <c r="UU61" s="50"/>
      <c r="UV61" s="50"/>
      <c r="UW61" s="50"/>
      <c r="UX61" s="50"/>
      <c r="UY61" s="50"/>
      <c r="UZ61" s="50"/>
      <c r="VA61" s="50"/>
      <c r="VB61" s="50"/>
      <c r="VC61" s="50"/>
      <c r="VD61" s="50"/>
      <c r="VE61" s="50"/>
      <c r="VF61" s="50"/>
      <c r="VG61" s="50"/>
      <c r="VH61" s="50"/>
      <c r="VI61" s="50"/>
      <c r="VJ61" s="50"/>
      <c r="VK61" s="50"/>
      <c r="VL61" s="50"/>
      <c r="VM61" s="50"/>
      <c r="VN61" s="50"/>
      <c r="VO61" s="50"/>
      <c r="VP61" s="50"/>
      <c r="VQ61" s="50"/>
      <c r="VR61" s="50"/>
      <c r="VS61" s="50"/>
      <c r="VT61" s="50"/>
      <c r="VU61" s="50"/>
      <c r="VV61" s="50"/>
      <c r="VW61" s="50"/>
      <c r="VX61" s="50"/>
      <c r="VY61" s="50"/>
      <c r="VZ61" s="50"/>
      <c r="WA61" s="50"/>
      <c r="WB61" s="50"/>
      <c r="WC61" s="50"/>
      <c r="WD61" s="50"/>
      <c r="WE61" s="50"/>
      <c r="WF61" s="50"/>
      <c r="WG61" s="50"/>
      <c r="WH61" s="50"/>
      <c r="WI61" s="50"/>
      <c r="WJ61" s="50"/>
      <c r="WK61" s="50"/>
      <c r="WL61" s="50"/>
      <c r="WM61" s="50"/>
      <c r="WN61" s="50"/>
      <c r="WO61" s="50"/>
      <c r="WP61" s="50"/>
      <c r="WQ61" s="50"/>
      <c r="WR61" s="50"/>
      <c r="WS61" s="50"/>
      <c r="WT61" s="50"/>
      <c r="WU61" s="50"/>
      <c r="WV61" s="50"/>
      <c r="WW61" s="50"/>
      <c r="WX61" s="50"/>
      <c r="WY61" s="50"/>
      <c r="WZ61" s="50"/>
      <c r="XA61" s="50"/>
      <c r="XB61" s="50"/>
      <c r="XC61" s="50"/>
      <c r="XD61" s="50"/>
      <c r="XE61" s="50"/>
      <c r="XF61" s="50"/>
      <c r="XG61" s="50"/>
      <c r="XH61" s="50"/>
      <c r="XI61" s="50"/>
      <c r="XJ61" s="50"/>
      <c r="XK61" s="50"/>
      <c r="XL61" s="50"/>
      <c r="XM61" s="50"/>
      <c r="XN61" s="50"/>
      <c r="XO61" s="50"/>
      <c r="XP61" s="50"/>
      <c r="XQ61" s="50"/>
      <c r="XR61" s="50"/>
      <c r="XS61" s="50"/>
      <c r="XT61" s="50"/>
      <c r="XU61" s="50"/>
      <c r="XV61" s="50"/>
      <c r="XW61" s="50"/>
      <c r="XX61" s="50"/>
      <c r="XY61" s="50"/>
      <c r="XZ61" s="50"/>
      <c r="YA61" s="50"/>
      <c r="YB61" s="50"/>
      <c r="YC61" s="50"/>
      <c r="YD61" s="50"/>
      <c r="YE61" s="50"/>
      <c r="YF61" s="50"/>
      <c r="YG61" s="50"/>
      <c r="YH61" s="50"/>
      <c r="YI61" s="50"/>
      <c r="YJ61" s="50"/>
      <c r="YK61" s="50"/>
      <c r="YL61" s="50"/>
      <c r="YM61" s="50"/>
      <c r="YN61" s="50"/>
      <c r="YO61" s="50"/>
      <c r="YP61" s="50"/>
      <c r="YQ61" s="50"/>
      <c r="YR61" s="50"/>
      <c r="YS61" s="50"/>
      <c r="YT61" s="50"/>
      <c r="YU61" s="50"/>
      <c r="YV61" s="50"/>
      <c r="YW61" s="50"/>
      <c r="YX61" s="50"/>
      <c r="YY61" s="50"/>
      <c r="YZ61" s="50"/>
      <c r="ZA61" s="50"/>
      <c r="ZB61" s="50"/>
      <c r="ZC61" s="50"/>
      <c r="ZD61" s="50"/>
      <c r="ZE61" s="50"/>
      <c r="ZF61" s="50"/>
      <c r="ZG61" s="50"/>
      <c r="ZH61" s="50"/>
      <c r="ZI61" s="50"/>
      <c r="ZJ61" s="50"/>
      <c r="ZK61" s="50"/>
      <c r="ZL61" s="50"/>
      <c r="ZM61" s="50"/>
      <c r="ZN61" s="50"/>
      <c r="ZO61" s="50"/>
      <c r="ZP61" s="50"/>
      <c r="ZQ61" s="50"/>
      <c r="ZR61" s="50"/>
      <c r="ZS61" s="50"/>
      <c r="ZT61" s="50"/>
      <c r="ZU61" s="50"/>
      <c r="ZV61" s="50"/>
      <c r="ZW61" s="50"/>
      <c r="ZX61" s="50"/>
      <c r="ZY61" s="50"/>
      <c r="ZZ61" s="50"/>
      <c r="AAA61" s="50"/>
      <c r="AAB61" s="50"/>
      <c r="AAC61" s="50"/>
      <c r="AAD61" s="50"/>
      <c r="AAE61" s="50"/>
      <c r="AAF61" s="50"/>
      <c r="AAG61" s="50"/>
      <c r="AAH61" s="50"/>
      <c r="AAI61" s="50"/>
      <c r="AAJ61" s="50"/>
      <c r="AAK61" s="50"/>
      <c r="AAL61" s="50"/>
      <c r="AAM61" s="50"/>
      <c r="AAN61" s="50"/>
      <c r="AAO61" s="50"/>
      <c r="AAP61" s="50"/>
      <c r="AAQ61" s="50"/>
      <c r="AAR61" s="50"/>
      <c r="AAS61" s="50"/>
      <c r="AAT61" s="50"/>
      <c r="AAU61" s="50"/>
      <c r="AAV61" s="50"/>
      <c r="AAW61" s="50"/>
      <c r="AAX61" s="50"/>
      <c r="AAY61" s="50"/>
      <c r="AAZ61" s="50"/>
      <c r="ABA61" s="50"/>
      <c r="ABB61" s="50"/>
      <c r="ABC61" s="50"/>
      <c r="ABD61" s="50"/>
      <c r="ABE61" s="50"/>
      <c r="ABF61" s="50"/>
      <c r="ABG61" s="50"/>
      <c r="ABH61" s="50"/>
      <c r="ABI61" s="50"/>
      <c r="ABJ61" s="50"/>
      <c r="ABK61" s="50"/>
      <c r="ABL61" s="50"/>
      <c r="ABM61" s="50"/>
      <c r="ABN61" s="50"/>
      <c r="ABO61" s="50"/>
      <c r="ABP61" s="50"/>
      <c r="ABQ61" s="50"/>
      <c r="ABR61" s="50"/>
      <c r="ABS61" s="50"/>
      <c r="ABT61" s="50"/>
      <c r="ABU61" s="50"/>
      <c r="ABV61" s="50"/>
      <c r="ABW61" s="50"/>
      <c r="ABX61" s="50"/>
      <c r="ABY61" s="50"/>
      <c r="ABZ61" s="50"/>
      <c r="ACA61" s="50"/>
      <c r="ACB61" s="50"/>
      <c r="ACC61" s="50"/>
      <c r="ACD61" s="50"/>
      <c r="ACE61" s="50"/>
      <c r="ACF61" s="50"/>
      <c r="ACG61" s="50"/>
      <c r="ACH61" s="50"/>
      <c r="ACI61" s="50"/>
      <c r="ACJ61" s="50"/>
      <c r="ACK61" s="50"/>
      <c r="ACL61" s="50"/>
      <c r="ACM61" s="50"/>
      <c r="ACN61" s="50"/>
      <c r="ACO61" s="50"/>
      <c r="ACP61" s="50"/>
      <c r="ACQ61" s="50"/>
      <c r="ACR61" s="50"/>
      <c r="ACS61" s="50"/>
      <c r="ACT61" s="50"/>
      <c r="ACU61" s="50"/>
      <c r="ACV61" s="50"/>
      <c r="ACW61" s="50"/>
      <c r="ACX61" s="50"/>
      <c r="ACY61" s="50"/>
      <c r="ACZ61" s="50"/>
      <c r="ADA61" s="50"/>
      <c r="ADB61" s="50"/>
      <c r="ADC61" s="50"/>
      <c r="ADD61" s="50"/>
      <c r="ADE61" s="50"/>
      <c r="ADF61" s="50"/>
      <c r="ADG61" s="50"/>
      <c r="ADH61" s="50"/>
      <c r="ADI61" s="50"/>
      <c r="ADJ61" s="50"/>
      <c r="ADK61" s="50"/>
      <c r="ADL61" s="50"/>
      <c r="ADM61" s="50"/>
      <c r="ADN61" s="50"/>
      <c r="ADO61" s="50"/>
      <c r="ADP61" s="50"/>
      <c r="ADQ61" s="50"/>
      <c r="ADR61" s="50"/>
      <c r="ADS61" s="50"/>
      <c r="ADT61" s="50"/>
      <c r="ADU61" s="50"/>
      <c r="ADV61" s="50"/>
      <c r="ADW61" s="50"/>
      <c r="ADX61" s="50"/>
      <c r="ADY61" s="50"/>
      <c r="ADZ61" s="50"/>
      <c r="AEA61" s="50"/>
      <c r="AEB61" s="50"/>
      <c r="AEC61" s="50"/>
      <c r="AED61" s="50"/>
      <c r="AEE61" s="50"/>
      <c r="AEF61" s="50"/>
      <c r="AEG61" s="50"/>
      <c r="AEH61" s="50"/>
      <c r="AEI61" s="50"/>
      <c r="AEJ61" s="50"/>
      <c r="AEK61" s="50"/>
      <c r="AEL61" s="50"/>
      <c r="AEM61" s="50"/>
      <c r="AEN61" s="50"/>
      <c r="AEO61" s="50"/>
      <c r="AEP61" s="50"/>
      <c r="AEQ61" s="50"/>
      <c r="AER61" s="50"/>
    </row>
    <row r="62" spans="1:824" s="51" customFormat="1" ht="54.95" customHeight="1" x14ac:dyDescent="0.3">
      <c r="A62" s="44">
        <v>32</v>
      </c>
      <c r="B62" s="55" t="s">
        <v>186</v>
      </c>
      <c r="C62" s="44">
        <v>3223004501</v>
      </c>
      <c r="D62" s="40" t="s">
        <v>95</v>
      </c>
      <c r="E62" s="56" t="s">
        <v>187</v>
      </c>
      <c r="F62" s="57" t="s">
        <v>75</v>
      </c>
      <c r="G62" s="56" t="s">
        <v>188</v>
      </c>
      <c r="H62" s="60">
        <v>9.5500000000000007</v>
      </c>
      <c r="I62" s="61">
        <v>11</v>
      </c>
      <c r="J62" s="61">
        <f>2846864.51/1000</f>
        <v>2846.8645099999999</v>
      </c>
      <c r="K62" s="61">
        <v>2963.7</v>
      </c>
      <c r="L62" s="61">
        <v>2529.8000000000002</v>
      </c>
      <c r="M62" s="38">
        <v>3164</v>
      </c>
      <c r="N62" s="60">
        <f>128981/1000</f>
        <v>128.98099999999999</v>
      </c>
      <c r="O62" s="60">
        <v>180</v>
      </c>
      <c r="P62" s="60">
        <v>62.3</v>
      </c>
      <c r="Q62" s="60">
        <v>180</v>
      </c>
      <c r="R62" s="60">
        <v>447.1</v>
      </c>
      <c r="S62" s="60">
        <f>4522/10000</f>
        <v>0.45219999999999999</v>
      </c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  <c r="MB62" s="50"/>
      <c r="MC62" s="50"/>
      <c r="MD62" s="50"/>
      <c r="ME62" s="50"/>
      <c r="MF62" s="50"/>
      <c r="MG62" s="50"/>
      <c r="MH62" s="50"/>
      <c r="MI62" s="50"/>
      <c r="MJ62" s="50"/>
      <c r="MK62" s="50"/>
      <c r="ML62" s="50"/>
      <c r="MM62" s="50"/>
      <c r="MN62" s="50"/>
      <c r="MO62" s="50"/>
      <c r="MP62" s="50"/>
      <c r="MQ62" s="50"/>
      <c r="MR62" s="50"/>
      <c r="MS62" s="50"/>
      <c r="MT62" s="50"/>
      <c r="MU62" s="50"/>
      <c r="MV62" s="50"/>
      <c r="MW62" s="50"/>
      <c r="MX62" s="50"/>
      <c r="MY62" s="50"/>
      <c r="MZ62" s="50"/>
      <c r="NA62" s="50"/>
      <c r="NB62" s="50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0"/>
      <c r="NT62" s="50"/>
      <c r="NU62" s="50"/>
      <c r="NV62" s="50"/>
      <c r="NW62" s="50"/>
      <c r="NX62" s="50"/>
      <c r="NY62" s="50"/>
      <c r="NZ62" s="50"/>
      <c r="OA62" s="50"/>
      <c r="OB62" s="50"/>
      <c r="OC62" s="50"/>
      <c r="OD62" s="50"/>
      <c r="OE62" s="50"/>
      <c r="OF62" s="50"/>
      <c r="OG62" s="50"/>
      <c r="OH62" s="50"/>
      <c r="OI62" s="50"/>
      <c r="OJ62" s="50"/>
      <c r="OK62" s="50"/>
      <c r="OL62" s="50"/>
      <c r="OM62" s="50"/>
      <c r="ON62" s="50"/>
      <c r="OO62" s="50"/>
      <c r="OP62" s="50"/>
      <c r="OQ62" s="50"/>
      <c r="OR62" s="50"/>
      <c r="OS62" s="50"/>
      <c r="OT62" s="50"/>
      <c r="OU62" s="50"/>
      <c r="OV62" s="50"/>
      <c r="OW62" s="50"/>
      <c r="OX62" s="50"/>
      <c r="OY62" s="50"/>
      <c r="OZ62" s="50"/>
      <c r="PA62" s="50"/>
      <c r="PB62" s="50"/>
      <c r="PC62" s="50"/>
      <c r="PD62" s="50"/>
      <c r="PE62" s="50"/>
      <c r="PF62" s="50"/>
      <c r="PG62" s="50"/>
      <c r="PH62" s="50"/>
      <c r="PI62" s="50"/>
      <c r="PJ62" s="50"/>
      <c r="PK62" s="50"/>
      <c r="PL62" s="50"/>
      <c r="PM62" s="50"/>
      <c r="PN62" s="50"/>
      <c r="PO62" s="50"/>
      <c r="PP62" s="50"/>
      <c r="PQ62" s="50"/>
      <c r="PR62" s="50"/>
      <c r="PS62" s="50"/>
      <c r="PT62" s="50"/>
      <c r="PU62" s="50"/>
      <c r="PV62" s="50"/>
      <c r="PW62" s="50"/>
      <c r="PX62" s="50"/>
      <c r="PY62" s="50"/>
      <c r="PZ62" s="50"/>
      <c r="QA62" s="50"/>
      <c r="QB62" s="50"/>
      <c r="QC62" s="50"/>
      <c r="QD62" s="50"/>
      <c r="QE62" s="50"/>
      <c r="QF62" s="50"/>
      <c r="QG62" s="50"/>
      <c r="QH62" s="50"/>
      <c r="QI62" s="50"/>
      <c r="QJ62" s="50"/>
      <c r="QK62" s="50"/>
      <c r="QL62" s="50"/>
      <c r="QM62" s="50"/>
      <c r="QN62" s="50"/>
      <c r="QO62" s="50"/>
      <c r="QP62" s="50"/>
      <c r="QQ62" s="50"/>
      <c r="QR62" s="50"/>
      <c r="QS62" s="50"/>
      <c r="QT62" s="50"/>
      <c r="QU62" s="50"/>
      <c r="QV62" s="50"/>
      <c r="QW62" s="50"/>
      <c r="QX62" s="50"/>
      <c r="QY62" s="50"/>
      <c r="QZ62" s="50"/>
      <c r="RA62" s="50"/>
      <c r="RB62" s="50"/>
      <c r="RC62" s="50"/>
      <c r="RD62" s="50"/>
      <c r="RE62" s="50"/>
      <c r="RF62" s="50"/>
      <c r="RG62" s="50"/>
      <c r="RH62" s="50"/>
      <c r="RI62" s="50"/>
      <c r="RJ62" s="50"/>
      <c r="RK62" s="50"/>
      <c r="RL62" s="50"/>
      <c r="RM62" s="50"/>
      <c r="RN62" s="50"/>
      <c r="RO62" s="50"/>
      <c r="RP62" s="50"/>
      <c r="RQ62" s="50"/>
      <c r="RR62" s="50"/>
      <c r="RS62" s="50"/>
      <c r="RT62" s="50"/>
      <c r="RU62" s="50"/>
      <c r="RV62" s="50"/>
      <c r="RW62" s="50"/>
      <c r="RX62" s="50"/>
      <c r="RY62" s="50"/>
      <c r="RZ62" s="50"/>
      <c r="SA62" s="50"/>
      <c r="SB62" s="50"/>
      <c r="SC62" s="50"/>
      <c r="SD62" s="50"/>
      <c r="SE62" s="50"/>
      <c r="SF62" s="50"/>
      <c r="SG62" s="50"/>
      <c r="SH62" s="50"/>
      <c r="SI62" s="50"/>
      <c r="SJ62" s="50"/>
      <c r="SK62" s="50"/>
      <c r="SL62" s="50"/>
      <c r="SM62" s="50"/>
      <c r="SN62" s="50"/>
      <c r="SO62" s="50"/>
      <c r="SP62" s="50"/>
      <c r="SQ62" s="50"/>
      <c r="SR62" s="50"/>
      <c r="SS62" s="50"/>
      <c r="ST62" s="50"/>
      <c r="SU62" s="50"/>
      <c r="SV62" s="50"/>
      <c r="SW62" s="50"/>
      <c r="SX62" s="50"/>
      <c r="SY62" s="50"/>
      <c r="SZ62" s="50"/>
      <c r="TA62" s="50"/>
      <c r="TB62" s="50"/>
      <c r="TC62" s="50"/>
      <c r="TD62" s="50"/>
      <c r="TE62" s="50"/>
      <c r="TF62" s="50"/>
      <c r="TG62" s="50"/>
      <c r="TH62" s="50"/>
      <c r="TI62" s="50"/>
      <c r="TJ62" s="50"/>
      <c r="TK62" s="50"/>
      <c r="TL62" s="50"/>
      <c r="TM62" s="50"/>
      <c r="TN62" s="50"/>
      <c r="TO62" s="50"/>
      <c r="TP62" s="50"/>
      <c r="TQ62" s="50"/>
      <c r="TR62" s="50"/>
      <c r="TS62" s="50"/>
      <c r="TT62" s="50"/>
      <c r="TU62" s="50"/>
      <c r="TV62" s="50"/>
      <c r="TW62" s="50"/>
      <c r="TX62" s="50"/>
      <c r="TY62" s="50"/>
      <c r="TZ62" s="50"/>
      <c r="UA62" s="50"/>
      <c r="UB62" s="50"/>
      <c r="UC62" s="50"/>
      <c r="UD62" s="50"/>
      <c r="UE62" s="50"/>
      <c r="UF62" s="50"/>
      <c r="UG62" s="50"/>
      <c r="UH62" s="50"/>
      <c r="UI62" s="50"/>
      <c r="UJ62" s="50"/>
      <c r="UK62" s="50"/>
      <c r="UL62" s="50"/>
      <c r="UM62" s="50"/>
      <c r="UN62" s="50"/>
      <c r="UO62" s="50"/>
      <c r="UP62" s="50"/>
      <c r="UQ62" s="50"/>
      <c r="UR62" s="50"/>
      <c r="US62" s="50"/>
      <c r="UT62" s="50"/>
      <c r="UU62" s="50"/>
      <c r="UV62" s="50"/>
      <c r="UW62" s="50"/>
      <c r="UX62" s="50"/>
      <c r="UY62" s="50"/>
      <c r="UZ62" s="50"/>
      <c r="VA62" s="50"/>
      <c r="VB62" s="50"/>
      <c r="VC62" s="50"/>
      <c r="VD62" s="50"/>
      <c r="VE62" s="50"/>
      <c r="VF62" s="50"/>
      <c r="VG62" s="50"/>
      <c r="VH62" s="50"/>
      <c r="VI62" s="50"/>
      <c r="VJ62" s="50"/>
      <c r="VK62" s="50"/>
      <c r="VL62" s="50"/>
      <c r="VM62" s="50"/>
      <c r="VN62" s="50"/>
      <c r="VO62" s="50"/>
      <c r="VP62" s="50"/>
      <c r="VQ62" s="50"/>
      <c r="VR62" s="50"/>
      <c r="VS62" s="50"/>
      <c r="VT62" s="50"/>
      <c r="VU62" s="50"/>
      <c r="VV62" s="50"/>
      <c r="VW62" s="50"/>
      <c r="VX62" s="50"/>
      <c r="VY62" s="50"/>
      <c r="VZ62" s="50"/>
      <c r="WA62" s="50"/>
      <c r="WB62" s="50"/>
      <c r="WC62" s="50"/>
      <c r="WD62" s="50"/>
      <c r="WE62" s="50"/>
      <c r="WF62" s="50"/>
      <c r="WG62" s="50"/>
      <c r="WH62" s="50"/>
      <c r="WI62" s="50"/>
      <c r="WJ62" s="50"/>
      <c r="WK62" s="50"/>
      <c r="WL62" s="50"/>
      <c r="WM62" s="50"/>
      <c r="WN62" s="50"/>
      <c r="WO62" s="50"/>
      <c r="WP62" s="50"/>
      <c r="WQ62" s="50"/>
      <c r="WR62" s="50"/>
      <c r="WS62" s="50"/>
      <c r="WT62" s="50"/>
      <c r="WU62" s="50"/>
      <c r="WV62" s="50"/>
      <c r="WW62" s="50"/>
      <c r="WX62" s="50"/>
      <c r="WY62" s="50"/>
      <c r="WZ62" s="50"/>
      <c r="XA62" s="50"/>
      <c r="XB62" s="50"/>
      <c r="XC62" s="50"/>
      <c r="XD62" s="50"/>
      <c r="XE62" s="50"/>
      <c r="XF62" s="50"/>
      <c r="XG62" s="50"/>
      <c r="XH62" s="50"/>
      <c r="XI62" s="50"/>
      <c r="XJ62" s="50"/>
      <c r="XK62" s="50"/>
      <c r="XL62" s="50"/>
      <c r="XM62" s="50"/>
      <c r="XN62" s="50"/>
      <c r="XO62" s="50"/>
      <c r="XP62" s="50"/>
      <c r="XQ62" s="50"/>
      <c r="XR62" s="50"/>
      <c r="XS62" s="50"/>
      <c r="XT62" s="50"/>
      <c r="XU62" s="50"/>
      <c r="XV62" s="50"/>
      <c r="XW62" s="50"/>
      <c r="XX62" s="50"/>
      <c r="XY62" s="50"/>
      <c r="XZ62" s="50"/>
      <c r="YA62" s="50"/>
      <c r="YB62" s="50"/>
      <c r="YC62" s="50"/>
      <c r="YD62" s="50"/>
      <c r="YE62" s="50"/>
      <c r="YF62" s="50"/>
      <c r="YG62" s="50"/>
      <c r="YH62" s="50"/>
      <c r="YI62" s="50"/>
      <c r="YJ62" s="50"/>
      <c r="YK62" s="50"/>
      <c r="YL62" s="50"/>
      <c r="YM62" s="50"/>
      <c r="YN62" s="50"/>
      <c r="YO62" s="50"/>
      <c r="YP62" s="50"/>
      <c r="YQ62" s="50"/>
      <c r="YR62" s="50"/>
      <c r="YS62" s="50"/>
      <c r="YT62" s="50"/>
      <c r="YU62" s="50"/>
      <c r="YV62" s="50"/>
      <c r="YW62" s="50"/>
      <c r="YX62" s="50"/>
      <c r="YY62" s="50"/>
      <c r="YZ62" s="50"/>
      <c r="ZA62" s="50"/>
      <c r="ZB62" s="50"/>
      <c r="ZC62" s="50"/>
      <c r="ZD62" s="50"/>
      <c r="ZE62" s="50"/>
      <c r="ZF62" s="50"/>
      <c r="ZG62" s="50"/>
      <c r="ZH62" s="50"/>
      <c r="ZI62" s="50"/>
      <c r="ZJ62" s="50"/>
      <c r="ZK62" s="50"/>
      <c r="ZL62" s="50"/>
      <c r="ZM62" s="50"/>
      <c r="ZN62" s="50"/>
      <c r="ZO62" s="50"/>
      <c r="ZP62" s="50"/>
      <c r="ZQ62" s="50"/>
      <c r="ZR62" s="50"/>
      <c r="ZS62" s="50"/>
      <c r="ZT62" s="50"/>
      <c r="ZU62" s="50"/>
      <c r="ZV62" s="50"/>
      <c r="ZW62" s="50"/>
      <c r="ZX62" s="50"/>
      <c r="ZY62" s="50"/>
      <c r="ZZ62" s="50"/>
      <c r="AAA62" s="50"/>
      <c r="AAB62" s="50"/>
      <c r="AAC62" s="50"/>
      <c r="AAD62" s="50"/>
      <c r="AAE62" s="50"/>
      <c r="AAF62" s="50"/>
      <c r="AAG62" s="50"/>
      <c r="AAH62" s="50"/>
      <c r="AAI62" s="50"/>
      <c r="AAJ62" s="50"/>
      <c r="AAK62" s="50"/>
      <c r="AAL62" s="50"/>
      <c r="AAM62" s="50"/>
      <c r="AAN62" s="50"/>
      <c r="AAO62" s="50"/>
      <c r="AAP62" s="50"/>
      <c r="AAQ62" s="50"/>
      <c r="AAR62" s="50"/>
      <c r="AAS62" s="50"/>
      <c r="AAT62" s="50"/>
      <c r="AAU62" s="50"/>
      <c r="AAV62" s="50"/>
      <c r="AAW62" s="50"/>
      <c r="AAX62" s="50"/>
      <c r="AAY62" s="50"/>
      <c r="AAZ62" s="50"/>
      <c r="ABA62" s="50"/>
      <c r="ABB62" s="50"/>
      <c r="ABC62" s="50"/>
      <c r="ABD62" s="50"/>
      <c r="ABE62" s="50"/>
      <c r="ABF62" s="50"/>
      <c r="ABG62" s="50"/>
      <c r="ABH62" s="50"/>
      <c r="ABI62" s="50"/>
      <c r="ABJ62" s="50"/>
      <c r="ABK62" s="50"/>
      <c r="ABL62" s="50"/>
      <c r="ABM62" s="50"/>
      <c r="ABN62" s="50"/>
      <c r="ABO62" s="50"/>
      <c r="ABP62" s="50"/>
      <c r="ABQ62" s="50"/>
      <c r="ABR62" s="50"/>
      <c r="ABS62" s="50"/>
      <c r="ABT62" s="50"/>
      <c r="ABU62" s="50"/>
      <c r="ABV62" s="50"/>
      <c r="ABW62" s="50"/>
      <c r="ABX62" s="50"/>
      <c r="ABY62" s="50"/>
      <c r="ABZ62" s="50"/>
      <c r="ACA62" s="50"/>
      <c r="ACB62" s="50"/>
      <c r="ACC62" s="50"/>
      <c r="ACD62" s="50"/>
      <c r="ACE62" s="50"/>
      <c r="ACF62" s="50"/>
      <c r="ACG62" s="50"/>
      <c r="ACH62" s="50"/>
      <c r="ACI62" s="50"/>
      <c r="ACJ62" s="50"/>
      <c r="ACK62" s="50"/>
      <c r="ACL62" s="50"/>
      <c r="ACM62" s="50"/>
      <c r="ACN62" s="50"/>
      <c r="ACO62" s="50"/>
      <c r="ACP62" s="50"/>
      <c r="ACQ62" s="50"/>
      <c r="ACR62" s="50"/>
      <c r="ACS62" s="50"/>
      <c r="ACT62" s="50"/>
      <c r="ACU62" s="50"/>
      <c r="ACV62" s="50"/>
      <c r="ACW62" s="50"/>
      <c r="ACX62" s="50"/>
      <c r="ACY62" s="50"/>
      <c r="ACZ62" s="50"/>
      <c r="ADA62" s="50"/>
      <c r="ADB62" s="50"/>
      <c r="ADC62" s="50"/>
      <c r="ADD62" s="50"/>
      <c r="ADE62" s="50"/>
      <c r="ADF62" s="50"/>
      <c r="ADG62" s="50"/>
      <c r="ADH62" s="50"/>
      <c r="ADI62" s="50"/>
      <c r="ADJ62" s="50"/>
      <c r="ADK62" s="50"/>
      <c r="ADL62" s="50"/>
      <c r="ADM62" s="50"/>
      <c r="ADN62" s="50"/>
      <c r="ADO62" s="50"/>
      <c r="ADP62" s="50"/>
      <c r="ADQ62" s="50"/>
      <c r="ADR62" s="50"/>
      <c r="ADS62" s="50"/>
      <c r="ADT62" s="50"/>
      <c r="ADU62" s="50"/>
      <c r="ADV62" s="50"/>
      <c r="ADW62" s="50"/>
      <c r="ADX62" s="50"/>
      <c r="ADY62" s="50"/>
      <c r="ADZ62" s="50"/>
      <c r="AEA62" s="50"/>
      <c r="AEB62" s="50"/>
      <c r="AEC62" s="50"/>
      <c r="AED62" s="50"/>
      <c r="AEE62" s="50"/>
      <c r="AEF62" s="50"/>
      <c r="AEG62" s="50"/>
      <c r="AEH62" s="50"/>
      <c r="AEI62" s="50"/>
      <c r="AEJ62" s="50"/>
      <c r="AEK62" s="50"/>
      <c r="AEL62" s="50"/>
      <c r="AEM62" s="50"/>
      <c r="AEN62" s="50"/>
      <c r="AEO62" s="50"/>
      <c r="AEP62" s="50"/>
      <c r="AEQ62" s="50"/>
      <c r="AER62" s="50"/>
    </row>
    <row r="63" spans="1:824" s="51" customFormat="1" ht="54.95" customHeight="1" x14ac:dyDescent="0.3">
      <c r="A63" s="44">
        <v>33</v>
      </c>
      <c r="B63" s="47" t="s">
        <v>189</v>
      </c>
      <c r="C63" s="44">
        <v>3223004734</v>
      </c>
      <c r="D63" s="40" t="s">
        <v>95</v>
      </c>
      <c r="E63" s="35" t="s">
        <v>190</v>
      </c>
      <c r="F63" s="44" t="s">
        <v>75</v>
      </c>
      <c r="G63" s="35" t="s">
        <v>188</v>
      </c>
      <c r="H63" s="38">
        <v>5.65</v>
      </c>
      <c r="I63" s="39">
        <v>6</v>
      </c>
      <c r="J63" s="39">
        <f>1702807.83/1000</f>
        <v>1702.80783</v>
      </c>
      <c r="K63" s="39">
        <v>1792.4</v>
      </c>
      <c r="L63" s="39">
        <v>1397.2</v>
      </c>
      <c r="M63" s="38">
        <v>1970</v>
      </c>
      <c r="N63" s="38">
        <f>46700/1000</f>
        <v>46.7</v>
      </c>
      <c r="O63" s="38">
        <v>60</v>
      </c>
      <c r="P63" s="38">
        <v>15.2</v>
      </c>
      <c r="Q63" s="38">
        <v>60</v>
      </c>
      <c r="R63" s="38">
        <v>875</v>
      </c>
      <c r="S63" s="38">
        <f>3835/10000</f>
        <v>0.38350000000000001</v>
      </c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  <c r="NW63" s="50"/>
      <c r="NX63" s="50"/>
      <c r="NY63" s="50"/>
      <c r="NZ63" s="50"/>
      <c r="OA63" s="50"/>
      <c r="OB63" s="50"/>
      <c r="OC63" s="50"/>
      <c r="OD63" s="50"/>
      <c r="OE63" s="50"/>
      <c r="OF63" s="50"/>
      <c r="OG63" s="50"/>
      <c r="OH63" s="50"/>
      <c r="OI63" s="50"/>
      <c r="OJ63" s="50"/>
      <c r="OK63" s="50"/>
      <c r="OL63" s="50"/>
      <c r="OM63" s="50"/>
      <c r="ON63" s="50"/>
      <c r="OO63" s="50"/>
      <c r="OP63" s="50"/>
      <c r="OQ63" s="50"/>
      <c r="OR63" s="50"/>
      <c r="OS63" s="50"/>
      <c r="OT63" s="50"/>
      <c r="OU63" s="50"/>
      <c r="OV63" s="50"/>
      <c r="OW63" s="50"/>
      <c r="OX63" s="50"/>
      <c r="OY63" s="50"/>
      <c r="OZ63" s="50"/>
      <c r="PA63" s="50"/>
      <c r="PB63" s="50"/>
      <c r="PC63" s="50"/>
      <c r="PD63" s="50"/>
      <c r="PE63" s="50"/>
      <c r="PF63" s="50"/>
      <c r="PG63" s="50"/>
      <c r="PH63" s="50"/>
      <c r="PI63" s="50"/>
      <c r="PJ63" s="50"/>
      <c r="PK63" s="50"/>
      <c r="PL63" s="50"/>
      <c r="PM63" s="50"/>
      <c r="PN63" s="50"/>
      <c r="PO63" s="50"/>
      <c r="PP63" s="50"/>
      <c r="PQ63" s="50"/>
      <c r="PR63" s="50"/>
      <c r="PS63" s="50"/>
      <c r="PT63" s="50"/>
      <c r="PU63" s="50"/>
      <c r="PV63" s="50"/>
      <c r="PW63" s="50"/>
      <c r="PX63" s="50"/>
      <c r="PY63" s="50"/>
      <c r="PZ63" s="50"/>
      <c r="QA63" s="50"/>
      <c r="QB63" s="50"/>
      <c r="QC63" s="50"/>
      <c r="QD63" s="50"/>
      <c r="QE63" s="50"/>
      <c r="QF63" s="50"/>
      <c r="QG63" s="50"/>
      <c r="QH63" s="50"/>
      <c r="QI63" s="50"/>
      <c r="QJ63" s="50"/>
      <c r="QK63" s="50"/>
      <c r="QL63" s="50"/>
      <c r="QM63" s="50"/>
      <c r="QN63" s="50"/>
      <c r="QO63" s="50"/>
      <c r="QP63" s="50"/>
      <c r="QQ63" s="50"/>
      <c r="QR63" s="50"/>
      <c r="QS63" s="50"/>
      <c r="QT63" s="50"/>
      <c r="QU63" s="50"/>
      <c r="QV63" s="50"/>
      <c r="QW63" s="50"/>
      <c r="QX63" s="50"/>
      <c r="QY63" s="50"/>
      <c r="QZ63" s="50"/>
      <c r="RA63" s="50"/>
      <c r="RB63" s="50"/>
      <c r="RC63" s="50"/>
      <c r="RD63" s="50"/>
      <c r="RE63" s="50"/>
      <c r="RF63" s="50"/>
      <c r="RG63" s="50"/>
      <c r="RH63" s="50"/>
      <c r="RI63" s="50"/>
      <c r="RJ63" s="50"/>
      <c r="RK63" s="50"/>
      <c r="RL63" s="50"/>
      <c r="RM63" s="50"/>
      <c r="RN63" s="50"/>
      <c r="RO63" s="50"/>
      <c r="RP63" s="50"/>
      <c r="RQ63" s="50"/>
      <c r="RR63" s="50"/>
      <c r="RS63" s="50"/>
      <c r="RT63" s="50"/>
      <c r="RU63" s="50"/>
      <c r="RV63" s="50"/>
      <c r="RW63" s="50"/>
      <c r="RX63" s="50"/>
      <c r="RY63" s="50"/>
      <c r="RZ63" s="50"/>
      <c r="SA63" s="50"/>
      <c r="SB63" s="50"/>
      <c r="SC63" s="50"/>
      <c r="SD63" s="50"/>
      <c r="SE63" s="50"/>
      <c r="SF63" s="50"/>
      <c r="SG63" s="50"/>
      <c r="SH63" s="50"/>
      <c r="SI63" s="50"/>
      <c r="SJ63" s="50"/>
      <c r="SK63" s="50"/>
      <c r="SL63" s="50"/>
      <c r="SM63" s="50"/>
      <c r="SN63" s="50"/>
      <c r="SO63" s="50"/>
      <c r="SP63" s="50"/>
      <c r="SQ63" s="50"/>
      <c r="SR63" s="50"/>
      <c r="SS63" s="50"/>
      <c r="ST63" s="50"/>
      <c r="SU63" s="50"/>
      <c r="SV63" s="50"/>
      <c r="SW63" s="50"/>
      <c r="SX63" s="50"/>
      <c r="SY63" s="50"/>
      <c r="SZ63" s="50"/>
      <c r="TA63" s="50"/>
      <c r="TB63" s="50"/>
      <c r="TC63" s="50"/>
      <c r="TD63" s="50"/>
      <c r="TE63" s="50"/>
      <c r="TF63" s="50"/>
      <c r="TG63" s="50"/>
      <c r="TH63" s="50"/>
      <c r="TI63" s="50"/>
      <c r="TJ63" s="50"/>
      <c r="TK63" s="50"/>
      <c r="TL63" s="50"/>
      <c r="TM63" s="50"/>
      <c r="TN63" s="50"/>
      <c r="TO63" s="50"/>
      <c r="TP63" s="50"/>
      <c r="TQ63" s="50"/>
      <c r="TR63" s="50"/>
      <c r="TS63" s="50"/>
      <c r="TT63" s="50"/>
      <c r="TU63" s="50"/>
      <c r="TV63" s="50"/>
      <c r="TW63" s="50"/>
      <c r="TX63" s="50"/>
      <c r="TY63" s="50"/>
      <c r="TZ63" s="50"/>
      <c r="UA63" s="50"/>
      <c r="UB63" s="50"/>
      <c r="UC63" s="50"/>
      <c r="UD63" s="50"/>
      <c r="UE63" s="50"/>
      <c r="UF63" s="50"/>
      <c r="UG63" s="50"/>
      <c r="UH63" s="50"/>
      <c r="UI63" s="50"/>
      <c r="UJ63" s="50"/>
      <c r="UK63" s="50"/>
      <c r="UL63" s="50"/>
      <c r="UM63" s="50"/>
      <c r="UN63" s="50"/>
      <c r="UO63" s="50"/>
      <c r="UP63" s="50"/>
      <c r="UQ63" s="50"/>
      <c r="UR63" s="50"/>
      <c r="US63" s="50"/>
      <c r="UT63" s="50"/>
      <c r="UU63" s="50"/>
      <c r="UV63" s="50"/>
      <c r="UW63" s="50"/>
      <c r="UX63" s="50"/>
      <c r="UY63" s="50"/>
      <c r="UZ63" s="50"/>
      <c r="VA63" s="50"/>
      <c r="VB63" s="50"/>
      <c r="VC63" s="50"/>
      <c r="VD63" s="50"/>
      <c r="VE63" s="50"/>
      <c r="VF63" s="50"/>
      <c r="VG63" s="50"/>
      <c r="VH63" s="50"/>
      <c r="VI63" s="50"/>
      <c r="VJ63" s="50"/>
      <c r="VK63" s="50"/>
      <c r="VL63" s="50"/>
      <c r="VM63" s="50"/>
      <c r="VN63" s="50"/>
      <c r="VO63" s="50"/>
      <c r="VP63" s="50"/>
      <c r="VQ63" s="50"/>
      <c r="VR63" s="50"/>
      <c r="VS63" s="50"/>
      <c r="VT63" s="50"/>
      <c r="VU63" s="50"/>
      <c r="VV63" s="50"/>
      <c r="VW63" s="50"/>
      <c r="VX63" s="50"/>
      <c r="VY63" s="50"/>
      <c r="VZ63" s="50"/>
      <c r="WA63" s="50"/>
      <c r="WB63" s="50"/>
      <c r="WC63" s="50"/>
      <c r="WD63" s="50"/>
      <c r="WE63" s="50"/>
      <c r="WF63" s="50"/>
      <c r="WG63" s="50"/>
      <c r="WH63" s="50"/>
      <c r="WI63" s="50"/>
      <c r="WJ63" s="50"/>
      <c r="WK63" s="50"/>
      <c r="WL63" s="50"/>
      <c r="WM63" s="50"/>
      <c r="WN63" s="50"/>
      <c r="WO63" s="50"/>
      <c r="WP63" s="50"/>
      <c r="WQ63" s="50"/>
      <c r="WR63" s="50"/>
      <c r="WS63" s="50"/>
      <c r="WT63" s="50"/>
      <c r="WU63" s="50"/>
      <c r="WV63" s="50"/>
      <c r="WW63" s="50"/>
      <c r="WX63" s="50"/>
      <c r="WY63" s="50"/>
      <c r="WZ63" s="50"/>
      <c r="XA63" s="50"/>
      <c r="XB63" s="50"/>
      <c r="XC63" s="50"/>
      <c r="XD63" s="50"/>
      <c r="XE63" s="50"/>
      <c r="XF63" s="50"/>
      <c r="XG63" s="50"/>
      <c r="XH63" s="50"/>
      <c r="XI63" s="50"/>
      <c r="XJ63" s="50"/>
      <c r="XK63" s="50"/>
      <c r="XL63" s="50"/>
      <c r="XM63" s="50"/>
      <c r="XN63" s="50"/>
      <c r="XO63" s="50"/>
      <c r="XP63" s="50"/>
      <c r="XQ63" s="50"/>
      <c r="XR63" s="50"/>
      <c r="XS63" s="50"/>
      <c r="XT63" s="50"/>
      <c r="XU63" s="50"/>
      <c r="XV63" s="50"/>
      <c r="XW63" s="50"/>
      <c r="XX63" s="50"/>
      <c r="XY63" s="50"/>
      <c r="XZ63" s="50"/>
      <c r="YA63" s="50"/>
      <c r="YB63" s="50"/>
      <c r="YC63" s="50"/>
      <c r="YD63" s="50"/>
      <c r="YE63" s="50"/>
      <c r="YF63" s="50"/>
      <c r="YG63" s="50"/>
      <c r="YH63" s="50"/>
      <c r="YI63" s="50"/>
      <c r="YJ63" s="50"/>
      <c r="YK63" s="50"/>
      <c r="YL63" s="50"/>
      <c r="YM63" s="50"/>
      <c r="YN63" s="50"/>
      <c r="YO63" s="50"/>
      <c r="YP63" s="50"/>
      <c r="YQ63" s="50"/>
      <c r="YR63" s="50"/>
      <c r="YS63" s="50"/>
      <c r="YT63" s="50"/>
      <c r="YU63" s="50"/>
      <c r="YV63" s="50"/>
      <c r="YW63" s="50"/>
      <c r="YX63" s="50"/>
      <c r="YY63" s="50"/>
      <c r="YZ63" s="50"/>
      <c r="ZA63" s="50"/>
      <c r="ZB63" s="50"/>
      <c r="ZC63" s="50"/>
      <c r="ZD63" s="50"/>
      <c r="ZE63" s="50"/>
      <c r="ZF63" s="50"/>
      <c r="ZG63" s="50"/>
      <c r="ZH63" s="50"/>
      <c r="ZI63" s="50"/>
      <c r="ZJ63" s="50"/>
      <c r="ZK63" s="50"/>
      <c r="ZL63" s="50"/>
      <c r="ZM63" s="50"/>
      <c r="ZN63" s="50"/>
      <c r="ZO63" s="50"/>
      <c r="ZP63" s="50"/>
      <c r="ZQ63" s="50"/>
      <c r="ZR63" s="50"/>
      <c r="ZS63" s="50"/>
      <c r="ZT63" s="50"/>
      <c r="ZU63" s="50"/>
      <c r="ZV63" s="50"/>
      <c r="ZW63" s="50"/>
      <c r="ZX63" s="50"/>
      <c r="ZY63" s="50"/>
      <c r="ZZ63" s="50"/>
      <c r="AAA63" s="50"/>
      <c r="AAB63" s="50"/>
      <c r="AAC63" s="50"/>
      <c r="AAD63" s="50"/>
      <c r="AAE63" s="50"/>
      <c r="AAF63" s="50"/>
      <c r="AAG63" s="50"/>
      <c r="AAH63" s="50"/>
      <c r="AAI63" s="50"/>
      <c r="AAJ63" s="50"/>
      <c r="AAK63" s="50"/>
      <c r="AAL63" s="50"/>
      <c r="AAM63" s="50"/>
      <c r="AAN63" s="50"/>
      <c r="AAO63" s="50"/>
      <c r="AAP63" s="50"/>
      <c r="AAQ63" s="50"/>
      <c r="AAR63" s="50"/>
      <c r="AAS63" s="50"/>
      <c r="AAT63" s="50"/>
      <c r="AAU63" s="50"/>
      <c r="AAV63" s="50"/>
      <c r="AAW63" s="50"/>
      <c r="AAX63" s="50"/>
      <c r="AAY63" s="50"/>
      <c r="AAZ63" s="50"/>
      <c r="ABA63" s="50"/>
      <c r="ABB63" s="50"/>
      <c r="ABC63" s="50"/>
      <c r="ABD63" s="50"/>
      <c r="ABE63" s="50"/>
      <c r="ABF63" s="50"/>
      <c r="ABG63" s="50"/>
      <c r="ABH63" s="50"/>
      <c r="ABI63" s="50"/>
      <c r="ABJ63" s="50"/>
      <c r="ABK63" s="50"/>
      <c r="ABL63" s="50"/>
      <c r="ABM63" s="50"/>
      <c r="ABN63" s="50"/>
      <c r="ABO63" s="50"/>
      <c r="ABP63" s="50"/>
      <c r="ABQ63" s="50"/>
      <c r="ABR63" s="50"/>
      <c r="ABS63" s="50"/>
      <c r="ABT63" s="50"/>
      <c r="ABU63" s="50"/>
      <c r="ABV63" s="50"/>
      <c r="ABW63" s="50"/>
      <c r="ABX63" s="50"/>
      <c r="ABY63" s="50"/>
      <c r="ABZ63" s="50"/>
      <c r="ACA63" s="50"/>
      <c r="ACB63" s="50"/>
      <c r="ACC63" s="50"/>
      <c r="ACD63" s="50"/>
      <c r="ACE63" s="50"/>
      <c r="ACF63" s="50"/>
      <c r="ACG63" s="50"/>
      <c r="ACH63" s="50"/>
      <c r="ACI63" s="50"/>
      <c r="ACJ63" s="50"/>
      <c r="ACK63" s="50"/>
      <c r="ACL63" s="50"/>
      <c r="ACM63" s="50"/>
      <c r="ACN63" s="50"/>
      <c r="ACO63" s="50"/>
      <c r="ACP63" s="50"/>
      <c r="ACQ63" s="50"/>
      <c r="ACR63" s="50"/>
      <c r="ACS63" s="50"/>
      <c r="ACT63" s="50"/>
      <c r="ACU63" s="50"/>
      <c r="ACV63" s="50"/>
      <c r="ACW63" s="50"/>
      <c r="ACX63" s="50"/>
      <c r="ACY63" s="50"/>
      <c r="ACZ63" s="50"/>
      <c r="ADA63" s="50"/>
      <c r="ADB63" s="50"/>
      <c r="ADC63" s="50"/>
      <c r="ADD63" s="50"/>
      <c r="ADE63" s="50"/>
      <c r="ADF63" s="50"/>
      <c r="ADG63" s="50"/>
      <c r="ADH63" s="50"/>
      <c r="ADI63" s="50"/>
      <c r="ADJ63" s="50"/>
      <c r="ADK63" s="50"/>
      <c r="ADL63" s="50"/>
      <c r="ADM63" s="50"/>
      <c r="ADN63" s="50"/>
      <c r="ADO63" s="50"/>
      <c r="ADP63" s="50"/>
      <c r="ADQ63" s="50"/>
      <c r="ADR63" s="50"/>
      <c r="ADS63" s="50"/>
      <c r="ADT63" s="50"/>
      <c r="ADU63" s="50"/>
      <c r="ADV63" s="50"/>
      <c r="ADW63" s="50"/>
      <c r="ADX63" s="50"/>
      <c r="ADY63" s="50"/>
      <c r="ADZ63" s="50"/>
      <c r="AEA63" s="50"/>
      <c r="AEB63" s="50"/>
      <c r="AEC63" s="50"/>
      <c r="AED63" s="50"/>
      <c r="AEE63" s="50"/>
      <c r="AEF63" s="50"/>
      <c r="AEG63" s="50"/>
      <c r="AEH63" s="50"/>
      <c r="AEI63" s="50"/>
      <c r="AEJ63" s="50"/>
      <c r="AEK63" s="50"/>
      <c r="AEL63" s="50"/>
      <c r="AEM63" s="50"/>
      <c r="AEN63" s="50"/>
      <c r="AEO63" s="50"/>
      <c r="AEP63" s="50"/>
      <c r="AEQ63" s="50"/>
      <c r="AER63" s="50"/>
    </row>
    <row r="64" spans="1:824" s="51" customFormat="1" ht="54.95" customHeight="1" x14ac:dyDescent="0.3">
      <c r="A64" s="44">
        <v>34</v>
      </c>
      <c r="B64" s="47" t="s">
        <v>191</v>
      </c>
      <c r="C64" s="44">
        <v>3223004597</v>
      </c>
      <c r="D64" s="40" t="s">
        <v>95</v>
      </c>
      <c r="E64" s="35" t="s">
        <v>192</v>
      </c>
      <c r="F64" s="44" t="s">
        <v>75</v>
      </c>
      <c r="G64" s="35" t="s">
        <v>188</v>
      </c>
      <c r="H64" s="38">
        <v>10</v>
      </c>
      <c r="I64" s="39">
        <v>10</v>
      </c>
      <c r="J64" s="39">
        <f>3089866.15/1000</f>
        <v>3089.8661499999998</v>
      </c>
      <c r="K64" s="39">
        <v>3254.8</v>
      </c>
      <c r="L64" s="39">
        <v>2601.6</v>
      </c>
      <c r="M64" s="38">
        <v>3555</v>
      </c>
      <c r="N64" s="38">
        <f>121015/1000</f>
        <v>121.015</v>
      </c>
      <c r="O64" s="38">
        <v>125</v>
      </c>
      <c r="P64" s="38">
        <v>70.599999999999994</v>
      </c>
      <c r="Q64" s="38">
        <v>125</v>
      </c>
      <c r="R64" s="38">
        <v>317</v>
      </c>
      <c r="S64" s="38">
        <f>5278/10000</f>
        <v>0.52780000000000005</v>
      </c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  <c r="NX64" s="50"/>
      <c r="NY64" s="50"/>
      <c r="NZ64" s="50"/>
      <c r="OA64" s="50"/>
      <c r="OB64" s="50"/>
      <c r="OC64" s="50"/>
      <c r="OD64" s="50"/>
      <c r="OE64" s="50"/>
      <c r="OF64" s="50"/>
      <c r="OG64" s="50"/>
      <c r="OH64" s="50"/>
      <c r="OI64" s="50"/>
      <c r="OJ64" s="50"/>
      <c r="OK64" s="50"/>
      <c r="OL64" s="50"/>
      <c r="OM64" s="50"/>
      <c r="ON64" s="50"/>
      <c r="OO64" s="50"/>
      <c r="OP64" s="50"/>
      <c r="OQ64" s="50"/>
      <c r="OR64" s="50"/>
      <c r="OS64" s="50"/>
      <c r="OT64" s="50"/>
      <c r="OU64" s="50"/>
      <c r="OV64" s="50"/>
      <c r="OW64" s="50"/>
      <c r="OX64" s="50"/>
      <c r="OY64" s="50"/>
      <c r="OZ64" s="50"/>
      <c r="PA64" s="50"/>
      <c r="PB64" s="50"/>
      <c r="PC64" s="50"/>
      <c r="PD64" s="50"/>
      <c r="PE64" s="50"/>
      <c r="PF64" s="50"/>
      <c r="PG64" s="50"/>
      <c r="PH64" s="50"/>
      <c r="PI64" s="50"/>
      <c r="PJ64" s="50"/>
      <c r="PK64" s="50"/>
      <c r="PL64" s="50"/>
      <c r="PM64" s="50"/>
      <c r="PN64" s="50"/>
      <c r="PO64" s="50"/>
      <c r="PP64" s="50"/>
      <c r="PQ64" s="50"/>
      <c r="PR64" s="50"/>
      <c r="PS64" s="50"/>
      <c r="PT64" s="50"/>
      <c r="PU64" s="50"/>
      <c r="PV64" s="50"/>
      <c r="PW64" s="50"/>
      <c r="PX64" s="50"/>
      <c r="PY64" s="50"/>
      <c r="PZ64" s="50"/>
      <c r="QA64" s="50"/>
      <c r="QB64" s="50"/>
      <c r="QC64" s="50"/>
      <c r="QD64" s="50"/>
      <c r="QE64" s="50"/>
      <c r="QF64" s="50"/>
      <c r="QG64" s="50"/>
      <c r="QH64" s="50"/>
      <c r="QI64" s="50"/>
      <c r="QJ64" s="50"/>
      <c r="QK64" s="50"/>
      <c r="QL64" s="50"/>
      <c r="QM64" s="50"/>
      <c r="QN64" s="50"/>
      <c r="QO64" s="50"/>
      <c r="QP64" s="50"/>
      <c r="QQ64" s="50"/>
      <c r="QR64" s="50"/>
      <c r="QS64" s="50"/>
      <c r="QT64" s="50"/>
      <c r="QU64" s="50"/>
      <c r="QV64" s="50"/>
      <c r="QW64" s="50"/>
      <c r="QX64" s="50"/>
      <c r="QY64" s="50"/>
      <c r="QZ64" s="50"/>
      <c r="RA64" s="50"/>
      <c r="RB64" s="50"/>
      <c r="RC64" s="50"/>
      <c r="RD64" s="50"/>
      <c r="RE64" s="50"/>
      <c r="RF64" s="50"/>
      <c r="RG64" s="50"/>
      <c r="RH64" s="50"/>
      <c r="RI64" s="50"/>
      <c r="RJ64" s="50"/>
      <c r="RK64" s="50"/>
      <c r="RL64" s="50"/>
      <c r="RM64" s="50"/>
      <c r="RN64" s="50"/>
      <c r="RO64" s="50"/>
      <c r="RP64" s="50"/>
      <c r="RQ64" s="50"/>
      <c r="RR64" s="50"/>
      <c r="RS64" s="50"/>
      <c r="RT64" s="50"/>
      <c r="RU64" s="50"/>
      <c r="RV64" s="50"/>
      <c r="RW64" s="50"/>
      <c r="RX64" s="50"/>
      <c r="RY64" s="50"/>
      <c r="RZ64" s="50"/>
      <c r="SA64" s="50"/>
      <c r="SB64" s="50"/>
      <c r="SC64" s="50"/>
      <c r="SD64" s="50"/>
      <c r="SE64" s="50"/>
      <c r="SF64" s="50"/>
      <c r="SG64" s="50"/>
      <c r="SH64" s="50"/>
      <c r="SI64" s="50"/>
      <c r="SJ64" s="50"/>
      <c r="SK64" s="50"/>
      <c r="SL64" s="50"/>
      <c r="SM64" s="50"/>
      <c r="SN64" s="50"/>
      <c r="SO64" s="50"/>
      <c r="SP64" s="50"/>
      <c r="SQ64" s="50"/>
      <c r="SR64" s="50"/>
      <c r="SS64" s="50"/>
      <c r="ST64" s="50"/>
      <c r="SU64" s="50"/>
      <c r="SV64" s="50"/>
      <c r="SW64" s="50"/>
      <c r="SX64" s="50"/>
      <c r="SY64" s="50"/>
      <c r="SZ64" s="50"/>
      <c r="TA64" s="50"/>
      <c r="TB64" s="50"/>
      <c r="TC64" s="50"/>
      <c r="TD64" s="50"/>
      <c r="TE64" s="50"/>
      <c r="TF64" s="50"/>
      <c r="TG64" s="50"/>
      <c r="TH64" s="50"/>
      <c r="TI64" s="50"/>
      <c r="TJ64" s="50"/>
      <c r="TK64" s="50"/>
      <c r="TL64" s="50"/>
      <c r="TM64" s="50"/>
      <c r="TN64" s="50"/>
      <c r="TO64" s="50"/>
      <c r="TP64" s="50"/>
      <c r="TQ64" s="50"/>
      <c r="TR64" s="50"/>
      <c r="TS64" s="50"/>
      <c r="TT64" s="50"/>
      <c r="TU64" s="50"/>
      <c r="TV64" s="50"/>
      <c r="TW64" s="50"/>
      <c r="TX64" s="50"/>
      <c r="TY64" s="50"/>
      <c r="TZ64" s="50"/>
      <c r="UA64" s="50"/>
      <c r="UB64" s="50"/>
      <c r="UC64" s="50"/>
      <c r="UD64" s="50"/>
      <c r="UE64" s="50"/>
      <c r="UF64" s="50"/>
      <c r="UG64" s="50"/>
      <c r="UH64" s="50"/>
      <c r="UI64" s="50"/>
      <c r="UJ64" s="50"/>
      <c r="UK64" s="50"/>
      <c r="UL64" s="50"/>
      <c r="UM64" s="50"/>
      <c r="UN64" s="50"/>
      <c r="UO64" s="50"/>
      <c r="UP64" s="50"/>
      <c r="UQ64" s="50"/>
      <c r="UR64" s="50"/>
      <c r="US64" s="50"/>
      <c r="UT64" s="50"/>
      <c r="UU64" s="50"/>
      <c r="UV64" s="50"/>
      <c r="UW64" s="50"/>
      <c r="UX64" s="50"/>
      <c r="UY64" s="50"/>
      <c r="UZ64" s="50"/>
      <c r="VA64" s="50"/>
      <c r="VB64" s="50"/>
      <c r="VC64" s="50"/>
      <c r="VD64" s="50"/>
      <c r="VE64" s="50"/>
      <c r="VF64" s="50"/>
      <c r="VG64" s="50"/>
      <c r="VH64" s="50"/>
      <c r="VI64" s="50"/>
      <c r="VJ64" s="50"/>
      <c r="VK64" s="50"/>
      <c r="VL64" s="50"/>
      <c r="VM64" s="50"/>
      <c r="VN64" s="50"/>
      <c r="VO64" s="50"/>
      <c r="VP64" s="50"/>
      <c r="VQ64" s="50"/>
      <c r="VR64" s="50"/>
      <c r="VS64" s="50"/>
      <c r="VT64" s="50"/>
      <c r="VU64" s="50"/>
      <c r="VV64" s="50"/>
      <c r="VW64" s="50"/>
      <c r="VX64" s="50"/>
      <c r="VY64" s="50"/>
      <c r="VZ64" s="50"/>
      <c r="WA64" s="50"/>
      <c r="WB64" s="50"/>
      <c r="WC64" s="50"/>
      <c r="WD64" s="50"/>
      <c r="WE64" s="50"/>
      <c r="WF64" s="50"/>
      <c r="WG64" s="50"/>
      <c r="WH64" s="50"/>
      <c r="WI64" s="50"/>
      <c r="WJ64" s="50"/>
      <c r="WK64" s="50"/>
      <c r="WL64" s="50"/>
      <c r="WM64" s="50"/>
      <c r="WN64" s="50"/>
      <c r="WO64" s="50"/>
      <c r="WP64" s="50"/>
      <c r="WQ64" s="50"/>
      <c r="WR64" s="50"/>
      <c r="WS64" s="50"/>
      <c r="WT64" s="50"/>
      <c r="WU64" s="50"/>
      <c r="WV64" s="50"/>
      <c r="WW64" s="50"/>
      <c r="WX64" s="50"/>
      <c r="WY64" s="50"/>
      <c r="WZ64" s="50"/>
      <c r="XA64" s="50"/>
      <c r="XB64" s="50"/>
      <c r="XC64" s="50"/>
      <c r="XD64" s="50"/>
      <c r="XE64" s="50"/>
      <c r="XF64" s="50"/>
      <c r="XG64" s="50"/>
      <c r="XH64" s="50"/>
      <c r="XI64" s="50"/>
      <c r="XJ64" s="50"/>
      <c r="XK64" s="50"/>
      <c r="XL64" s="50"/>
      <c r="XM64" s="50"/>
      <c r="XN64" s="50"/>
      <c r="XO64" s="50"/>
      <c r="XP64" s="50"/>
      <c r="XQ64" s="50"/>
      <c r="XR64" s="50"/>
      <c r="XS64" s="50"/>
      <c r="XT64" s="50"/>
      <c r="XU64" s="50"/>
      <c r="XV64" s="50"/>
      <c r="XW64" s="50"/>
      <c r="XX64" s="50"/>
      <c r="XY64" s="50"/>
      <c r="XZ64" s="50"/>
      <c r="YA64" s="50"/>
      <c r="YB64" s="50"/>
      <c r="YC64" s="50"/>
      <c r="YD64" s="50"/>
      <c r="YE64" s="50"/>
      <c r="YF64" s="50"/>
      <c r="YG64" s="50"/>
      <c r="YH64" s="50"/>
      <c r="YI64" s="50"/>
      <c r="YJ64" s="50"/>
      <c r="YK64" s="50"/>
      <c r="YL64" s="50"/>
      <c r="YM64" s="50"/>
      <c r="YN64" s="50"/>
      <c r="YO64" s="50"/>
      <c r="YP64" s="50"/>
      <c r="YQ64" s="50"/>
      <c r="YR64" s="50"/>
      <c r="YS64" s="50"/>
      <c r="YT64" s="50"/>
      <c r="YU64" s="50"/>
      <c r="YV64" s="50"/>
      <c r="YW64" s="50"/>
      <c r="YX64" s="50"/>
      <c r="YY64" s="50"/>
      <c r="YZ64" s="50"/>
      <c r="ZA64" s="50"/>
      <c r="ZB64" s="50"/>
      <c r="ZC64" s="50"/>
      <c r="ZD64" s="50"/>
      <c r="ZE64" s="50"/>
      <c r="ZF64" s="50"/>
      <c r="ZG64" s="50"/>
      <c r="ZH64" s="50"/>
      <c r="ZI64" s="50"/>
      <c r="ZJ64" s="50"/>
      <c r="ZK64" s="50"/>
      <c r="ZL64" s="50"/>
      <c r="ZM64" s="50"/>
      <c r="ZN64" s="50"/>
      <c r="ZO64" s="50"/>
      <c r="ZP64" s="50"/>
      <c r="ZQ64" s="50"/>
      <c r="ZR64" s="50"/>
      <c r="ZS64" s="50"/>
      <c r="ZT64" s="50"/>
      <c r="ZU64" s="50"/>
      <c r="ZV64" s="50"/>
      <c r="ZW64" s="50"/>
      <c r="ZX64" s="50"/>
      <c r="ZY64" s="50"/>
      <c r="ZZ64" s="50"/>
      <c r="AAA64" s="50"/>
      <c r="AAB64" s="50"/>
      <c r="AAC64" s="50"/>
      <c r="AAD64" s="50"/>
      <c r="AAE64" s="50"/>
      <c r="AAF64" s="50"/>
      <c r="AAG64" s="50"/>
      <c r="AAH64" s="50"/>
      <c r="AAI64" s="50"/>
      <c r="AAJ64" s="50"/>
      <c r="AAK64" s="50"/>
      <c r="AAL64" s="50"/>
      <c r="AAM64" s="50"/>
      <c r="AAN64" s="50"/>
      <c r="AAO64" s="50"/>
      <c r="AAP64" s="50"/>
      <c r="AAQ64" s="50"/>
      <c r="AAR64" s="50"/>
      <c r="AAS64" s="50"/>
      <c r="AAT64" s="50"/>
      <c r="AAU64" s="50"/>
      <c r="AAV64" s="50"/>
      <c r="AAW64" s="50"/>
      <c r="AAX64" s="50"/>
      <c r="AAY64" s="50"/>
      <c r="AAZ64" s="50"/>
      <c r="ABA64" s="50"/>
      <c r="ABB64" s="50"/>
      <c r="ABC64" s="50"/>
      <c r="ABD64" s="50"/>
      <c r="ABE64" s="50"/>
      <c r="ABF64" s="50"/>
      <c r="ABG64" s="50"/>
      <c r="ABH64" s="50"/>
      <c r="ABI64" s="50"/>
      <c r="ABJ64" s="50"/>
      <c r="ABK64" s="50"/>
      <c r="ABL64" s="50"/>
      <c r="ABM64" s="50"/>
      <c r="ABN64" s="50"/>
      <c r="ABO64" s="50"/>
      <c r="ABP64" s="50"/>
      <c r="ABQ64" s="50"/>
      <c r="ABR64" s="50"/>
      <c r="ABS64" s="50"/>
      <c r="ABT64" s="50"/>
      <c r="ABU64" s="50"/>
      <c r="ABV64" s="50"/>
      <c r="ABW64" s="50"/>
      <c r="ABX64" s="50"/>
      <c r="ABY64" s="50"/>
      <c r="ABZ64" s="50"/>
      <c r="ACA64" s="50"/>
      <c r="ACB64" s="50"/>
      <c r="ACC64" s="50"/>
      <c r="ACD64" s="50"/>
      <c r="ACE64" s="50"/>
      <c r="ACF64" s="50"/>
      <c r="ACG64" s="50"/>
      <c r="ACH64" s="50"/>
      <c r="ACI64" s="50"/>
      <c r="ACJ64" s="50"/>
      <c r="ACK64" s="50"/>
      <c r="ACL64" s="50"/>
      <c r="ACM64" s="50"/>
      <c r="ACN64" s="50"/>
      <c r="ACO64" s="50"/>
      <c r="ACP64" s="50"/>
      <c r="ACQ64" s="50"/>
      <c r="ACR64" s="50"/>
      <c r="ACS64" s="50"/>
      <c r="ACT64" s="50"/>
      <c r="ACU64" s="50"/>
      <c r="ACV64" s="50"/>
      <c r="ACW64" s="50"/>
      <c r="ACX64" s="50"/>
      <c r="ACY64" s="50"/>
      <c r="ACZ64" s="50"/>
      <c r="ADA64" s="50"/>
      <c r="ADB64" s="50"/>
      <c r="ADC64" s="50"/>
      <c r="ADD64" s="50"/>
      <c r="ADE64" s="50"/>
      <c r="ADF64" s="50"/>
      <c r="ADG64" s="50"/>
      <c r="ADH64" s="50"/>
      <c r="ADI64" s="50"/>
      <c r="ADJ64" s="50"/>
      <c r="ADK64" s="50"/>
      <c r="ADL64" s="50"/>
      <c r="ADM64" s="50"/>
      <c r="ADN64" s="50"/>
      <c r="ADO64" s="50"/>
      <c r="ADP64" s="50"/>
      <c r="ADQ64" s="50"/>
      <c r="ADR64" s="50"/>
      <c r="ADS64" s="50"/>
      <c r="ADT64" s="50"/>
      <c r="ADU64" s="50"/>
      <c r="ADV64" s="50"/>
      <c r="ADW64" s="50"/>
      <c r="ADX64" s="50"/>
      <c r="ADY64" s="50"/>
      <c r="ADZ64" s="50"/>
      <c r="AEA64" s="50"/>
      <c r="AEB64" s="50"/>
      <c r="AEC64" s="50"/>
      <c r="AED64" s="50"/>
      <c r="AEE64" s="50"/>
      <c r="AEF64" s="50"/>
      <c r="AEG64" s="50"/>
      <c r="AEH64" s="50"/>
      <c r="AEI64" s="50"/>
      <c r="AEJ64" s="50"/>
      <c r="AEK64" s="50"/>
      <c r="AEL64" s="50"/>
      <c r="AEM64" s="50"/>
      <c r="AEN64" s="50"/>
      <c r="AEO64" s="50"/>
      <c r="AEP64" s="50"/>
      <c r="AEQ64" s="50"/>
      <c r="AER64" s="50"/>
    </row>
    <row r="65" spans="1:824" s="51" customFormat="1" ht="54.95" customHeight="1" x14ac:dyDescent="0.3">
      <c r="A65" s="44">
        <v>35</v>
      </c>
      <c r="B65" s="47" t="s">
        <v>193</v>
      </c>
      <c r="C65" s="44">
        <v>3223004558</v>
      </c>
      <c r="D65" s="40" t="s">
        <v>95</v>
      </c>
      <c r="E65" s="35" t="s">
        <v>194</v>
      </c>
      <c r="F65" s="44" t="s">
        <v>75</v>
      </c>
      <c r="G65" s="35" t="s">
        <v>188</v>
      </c>
      <c r="H65" s="38">
        <v>8.3000000000000007</v>
      </c>
      <c r="I65" s="39">
        <v>11</v>
      </c>
      <c r="J65" s="39">
        <f>2443352.96/1000</f>
        <v>2443.3529600000002</v>
      </c>
      <c r="K65" s="39">
        <v>2589.5</v>
      </c>
      <c r="L65" s="39">
        <v>2185.1</v>
      </c>
      <c r="M65" s="38">
        <v>2590</v>
      </c>
      <c r="N65" s="38">
        <f>45550/1000</f>
        <v>45.55</v>
      </c>
      <c r="O65" s="38">
        <v>80</v>
      </c>
      <c r="P65" s="38">
        <v>42.2</v>
      </c>
      <c r="Q65" s="38">
        <v>80</v>
      </c>
      <c r="R65" s="38">
        <v>601.79999999999995</v>
      </c>
      <c r="S65" s="38">
        <f>3945/10000</f>
        <v>0.39450000000000002</v>
      </c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  <c r="VQ65" s="50"/>
      <c r="VR65" s="50"/>
      <c r="VS65" s="50"/>
      <c r="VT65" s="50"/>
      <c r="VU65" s="50"/>
      <c r="VV65" s="50"/>
      <c r="VW65" s="50"/>
      <c r="VX65" s="50"/>
      <c r="VY65" s="50"/>
      <c r="VZ65" s="50"/>
      <c r="WA65" s="50"/>
      <c r="WB65" s="50"/>
      <c r="WC65" s="50"/>
      <c r="WD65" s="50"/>
      <c r="WE65" s="50"/>
      <c r="WF65" s="50"/>
      <c r="WG65" s="50"/>
      <c r="WH65" s="50"/>
      <c r="WI65" s="50"/>
      <c r="WJ65" s="50"/>
      <c r="WK65" s="50"/>
      <c r="WL65" s="50"/>
      <c r="WM65" s="50"/>
      <c r="WN65" s="50"/>
      <c r="WO65" s="50"/>
      <c r="WP65" s="50"/>
      <c r="WQ65" s="50"/>
      <c r="WR65" s="50"/>
      <c r="WS65" s="50"/>
      <c r="WT65" s="50"/>
      <c r="WU65" s="50"/>
      <c r="WV65" s="50"/>
      <c r="WW65" s="50"/>
      <c r="WX65" s="50"/>
      <c r="WY65" s="50"/>
      <c r="WZ65" s="50"/>
      <c r="XA65" s="50"/>
      <c r="XB65" s="50"/>
      <c r="XC65" s="50"/>
      <c r="XD65" s="50"/>
      <c r="XE65" s="50"/>
      <c r="XF65" s="50"/>
      <c r="XG65" s="50"/>
      <c r="XH65" s="50"/>
      <c r="XI65" s="50"/>
      <c r="XJ65" s="50"/>
      <c r="XK65" s="50"/>
      <c r="XL65" s="50"/>
      <c r="XM65" s="50"/>
      <c r="XN65" s="50"/>
      <c r="XO65" s="50"/>
      <c r="XP65" s="50"/>
      <c r="XQ65" s="50"/>
      <c r="XR65" s="50"/>
      <c r="XS65" s="50"/>
      <c r="XT65" s="50"/>
      <c r="XU65" s="50"/>
      <c r="XV65" s="50"/>
      <c r="XW65" s="50"/>
      <c r="XX65" s="50"/>
      <c r="XY65" s="50"/>
      <c r="XZ65" s="50"/>
      <c r="YA65" s="50"/>
      <c r="YB65" s="50"/>
      <c r="YC65" s="50"/>
      <c r="YD65" s="50"/>
      <c r="YE65" s="50"/>
      <c r="YF65" s="50"/>
      <c r="YG65" s="50"/>
      <c r="YH65" s="50"/>
      <c r="YI65" s="50"/>
      <c r="YJ65" s="50"/>
      <c r="YK65" s="50"/>
      <c r="YL65" s="50"/>
      <c r="YM65" s="50"/>
      <c r="YN65" s="50"/>
      <c r="YO65" s="50"/>
      <c r="YP65" s="50"/>
      <c r="YQ65" s="50"/>
      <c r="YR65" s="50"/>
      <c r="YS65" s="50"/>
      <c r="YT65" s="50"/>
      <c r="YU65" s="50"/>
      <c r="YV65" s="50"/>
      <c r="YW65" s="50"/>
      <c r="YX65" s="50"/>
      <c r="YY65" s="50"/>
      <c r="YZ65" s="50"/>
      <c r="ZA65" s="50"/>
      <c r="ZB65" s="50"/>
      <c r="ZC65" s="50"/>
      <c r="ZD65" s="50"/>
      <c r="ZE65" s="50"/>
      <c r="ZF65" s="50"/>
      <c r="ZG65" s="50"/>
      <c r="ZH65" s="50"/>
      <c r="ZI65" s="50"/>
      <c r="ZJ65" s="50"/>
      <c r="ZK65" s="50"/>
      <c r="ZL65" s="50"/>
      <c r="ZM65" s="50"/>
      <c r="ZN65" s="50"/>
      <c r="ZO65" s="50"/>
      <c r="ZP65" s="50"/>
      <c r="ZQ65" s="50"/>
      <c r="ZR65" s="50"/>
      <c r="ZS65" s="50"/>
      <c r="ZT65" s="50"/>
      <c r="ZU65" s="50"/>
      <c r="ZV65" s="50"/>
      <c r="ZW65" s="50"/>
      <c r="ZX65" s="50"/>
      <c r="ZY65" s="50"/>
      <c r="ZZ65" s="50"/>
      <c r="AAA65" s="50"/>
      <c r="AAB65" s="50"/>
      <c r="AAC65" s="50"/>
      <c r="AAD65" s="50"/>
      <c r="AAE65" s="50"/>
      <c r="AAF65" s="50"/>
      <c r="AAG65" s="50"/>
      <c r="AAH65" s="50"/>
      <c r="AAI65" s="50"/>
      <c r="AAJ65" s="50"/>
      <c r="AAK65" s="50"/>
      <c r="AAL65" s="50"/>
      <c r="AAM65" s="50"/>
      <c r="AAN65" s="50"/>
      <c r="AAO65" s="50"/>
      <c r="AAP65" s="50"/>
      <c r="AAQ65" s="50"/>
      <c r="AAR65" s="50"/>
      <c r="AAS65" s="50"/>
      <c r="AAT65" s="50"/>
      <c r="AAU65" s="50"/>
      <c r="AAV65" s="50"/>
      <c r="AAW65" s="50"/>
      <c r="AAX65" s="50"/>
      <c r="AAY65" s="50"/>
      <c r="AAZ65" s="50"/>
      <c r="ABA65" s="50"/>
      <c r="ABB65" s="50"/>
      <c r="ABC65" s="50"/>
      <c r="ABD65" s="50"/>
      <c r="ABE65" s="50"/>
      <c r="ABF65" s="50"/>
      <c r="ABG65" s="50"/>
      <c r="ABH65" s="50"/>
      <c r="ABI65" s="50"/>
      <c r="ABJ65" s="50"/>
      <c r="ABK65" s="50"/>
      <c r="ABL65" s="50"/>
      <c r="ABM65" s="50"/>
      <c r="ABN65" s="50"/>
      <c r="ABO65" s="50"/>
      <c r="ABP65" s="50"/>
      <c r="ABQ65" s="50"/>
      <c r="ABR65" s="50"/>
      <c r="ABS65" s="50"/>
      <c r="ABT65" s="50"/>
      <c r="ABU65" s="50"/>
      <c r="ABV65" s="50"/>
      <c r="ABW65" s="50"/>
      <c r="ABX65" s="50"/>
      <c r="ABY65" s="50"/>
      <c r="ABZ65" s="50"/>
      <c r="ACA65" s="50"/>
      <c r="ACB65" s="50"/>
      <c r="ACC65" s="50"/>
      <c r="ACD65" s="50"/>
      <c r="ACE65" s="50"/>
      <c r="ACF65" s="50"/>
      <c r="ACG65" s="50"/>
      <c r="ACH65" s="50"/>
      <c r="ACI65" s="50"/>
      <c r="ACJ65" s="50"/>
      <c r="ACK65" s="50"/>
      <c r="ACL65" s="50"/>
      <c r="ACM65" s="50"/>
      <c r="ACN65" s="50"/>
      <c r="ACO65" s="50"/>
      <c r="ACP65" s="50"/>
      <c r="ACQ65" s="50"/>
      <c r="ACR65" s="50"/>
      <c r="ACS65" s="50"/>
      <c r="ACT65" s="50"/>
      <c r="ACU65" s="50"/>
      <c r="ACV65" s="50"/>
      <c r="ACW65" s="50"/>
      <c r="ACX65" s="50"/>
      <c r="ACY65" s="50"/>
      <c r="ACZ65" s="50"/>
      <c r="ADA65" s="50"/>
      <c r="ADB65" s="50"/>
      <c r="ADC65" s="50"/>
      <c r="ADD65" s="50"/>
      <c r="ADE65" s="50"/>
      <c r="ADF65" s="50"/>
      <c r="ADG65" s="50"/>
      <c r="ADH65" s="50"/>
      <c r="ADI65" s="50"/>
      <c r="ADJ65" s="50"/>
      <c r="ADK65" s="50"/>
      <c r="ADL65" s="50"/>
      <c r="ADM65" s="50"/>
      <c r="ADN65" s="50"/>
      <c r="ADO65" s="50"/>
      <c r="ADP65" s="50"/>
      <c r="ADQ65" s="50"/>
      <c r="ADR65" s="50"/>
      <c r="ADS65" s="50"/>
      <c r="ADT65" s="50"/>
      <c r="ADU65" s="50"/>
      <c r="ADV65" s="50"/>
      <c r="ADW65" s="50"/>
      <c r="ADX65" s="50"/>
      <c r="ADY65" s="50"/>
      <c r="ADZ65" s="50"/>
      <c r="AEA65" s="50"/>
      <c r="AEB65" s="50"/>
      <c r="AEC65" s="50"/>
      <c r="AED65" s="50"/>
      <c r="AEE65" s="50"/>
      <c r="AEF65" s="50"/>
      <c r="AEG65" s="50"/>
      <c r="AEH65" s="50"/>
      <c r="AEI65" s="50"/>
      <c r="AEJ65" s="50"/>
      <c r="AEK65" s="50"/>
      <c r="AEL65" s="50"/>
      <c r="AEM65" s="50"/>
      <c r="AEN65" s="50"/>
      <c r="AEO65" s="50"/>
      <c r="AEP65" s="50"/>
      <c r="AEQ65" s="50"/>
      <c r="AER65" s="50"/>
    </row>
    <row r="66" spans="1:824" s="51" customFormat="1" ht="54.95" customHeight="1" x14ac:dyDescent="0.3">
      <c r="A66" s="44">
        <v>36</v>
      </c>
      <c r="B66" s="47" t="s">
        <v>195</v>
      </c>
      <c r="C66" s="44">
        <v>3223004572</v>
      </c>
      <c r="D66" s="40" t="s">
        <v>95</v>
      </c>
      <c r="E66" s="35" t="s">
        <v>196</v>
      </c>
      <c r="F66" s="44" t="s">
        <v>75</v>
      </c>
      <c r="G66" s="35" t="s">
        <v>188</v>
      </c>
      <c r="H66" s="38">
        <v>8.3000000000000007</v>
      </c>
      <c r="I66" s="39">
        <v>10</v>
      </c>
      <c r="J66" s="39">
        <f>2836668.39/1000</f>
        <v>2836.6683900000003</v>
      </c>
      <c r="K66" s="39">
        <v>2990.1</v>
      </c>
      <c r="L66" s="39">
        <v>2251</v>
      </c>
      <c r="M66" s="38">
        <v>3100</v>
      </c>
      <c r="N66" s="38">
        <f>78350/1000</f>
        <v>78.349999999999994</v>
      </c>
      <c r="O66" s="38">
        <v>150</v>
      </c>
      <c r="P66" s="38">
        <v>79.599999999999994</v>
      </c>
      <c r="Q66" s="38">
        <v>150</v>
      </c>
      <c r="R66" s="38">
        <v>601.79999999999995</v>
      </c>
      <c r="S66" s="38">
        <f>4076/10000</f>
        <v>0.40760000000000002</v>
      </c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  <c r="QF66" s="50"/>
      <c r="QG66" s="50"/>
      <c r="QH66" s="50"/>
      <c r="QI66" s="50"/>
      <c r="QJ66" s="50"/>
      <c r="QK66" s="50"/>
      <c r="QL66" s="50"/>
      <c r="QM66" s="50"/>
      <c r="QN66" s="50"/>
      <c r="QO66" s="50"/>
      <c r="QP66" s="50"/>
      <c r="QQ66" s="50"/>
      <c r="QR66" s="50"/>
      <c r="QS66" s="50"/>
      <c r="QT66" s="50"/>
      <c r="QU66" s="50"/>
      <c r="QV66" s="50"/>
      <c r="QW66" s="50"/>
      <c r="QX66" s="50"/>
      <c r="QY66" s="50"/>
      <c r="QZ66" s="50"/>
      <c r="RA66" s="50"/>
      <c r="RB66" s="50"/>
      <c r="RC66" s="50"/>
      <c r="RD66" s="50"/>
      <c r="RE66" s="50"/>
      <c r="RF66" s="50"/>
      <c r="RG66" s="50"/>
      <c r="RH66" s="50"/>
      <c r="RI66" s="50"/>
      <c r="RJ66" s="50"/>
      <c r="RK66" s="50"/>
      <c r="RL66" s="50"/>
      <c r="RM66" s="50"/>
      <c r="RN66" s="50"/>
      <c r="RO66" s="50"/>
      <c r="RP66" s="50"/>
      <c r="RQ66" s="50"/>
      <c r="RR66" s="50"/>
      <c r="RS66" s="50"/>
      <c r="RT66" s="50"/>
      <c r="RU66" s="50"/>
      <c r="RV66" s="50"/>
      <c r="RW66" s="50"/>
      <c r="RX66" s="50"/>
      <c r="RY66" s="50"/>
      <c r="RZ66" s="50"/>
      <c r="SA66" s="50"/>
      <c r="SB66" s="50"/>
      <c r="SC66" s="50"/>
      <c r="SD66" s="50"/>
      <c r="SE66" s="50"/>
      <c r="SF66" s="50"/>
      <c r="SG66" s="50"/>
      <c r="SH66" s="50"/>
      <c r="SI66" s="50"/>
      <c r="SJ66" s="50"/>
      <c r="SK66" s="50"/>
      <c r="SL66" s="50"/>
      <c r="SM66" s="50"/>
      <c r="SN66" s="50"/>
      <c r="SO66" s="50"/>
      <c r="SP66" s="50"/>
      <c r="SQ66" s="50"/>
      <c r="SR66" s="50"/>
      <c r="SS66" s="50"/>
      <c r="ST66" s="50"/>
      <c r="SU66" s="50"/>
      <c r="SV66" s="50"/>
      <c r="SW66" s="50"/>
      <c r="SX66" s="50"/>
      <c r="SY66" s="50"/>
      <c r="SZ66" s="50"/>
      <c r="TA66" s="50"/>
      <c r="TB66" s="50"/>
      <c r="TC66" s="50"/>
      <c r="TD66" s="50"/>
      <c r="TE66" s="50"/>
      <c r="TF66" s="50"/>
      <c r="TG66" s="50"/>
      <c r="TH66" s="50"/>
      <c r="TI66" s="50"/>
      <c r="TJ66" s="50"/>
      <c r="TK66" s="50"/>
      <c r="TL66" s="50"/>
      <c r="TM66" s="50"/>
      <c r="TN66" s="50"/>
      <c r="TO66" s="50"/>
      <c r="TP66" s="50"/>
      <c r="TQ66" s="50"/>
      <c r="TR66" s="50"/>
      <c r="TS66" s="50"/>
      <c r="TT66" s="50"/>
      <c r="TU66" s="50"/>
      <c r="TV66" s="50"/>
      <c r="TW66" s="50"/>
      <c r="TX66" s="50"/>
      <c r="TY66" s="50"/>
      <c r="TZ66" s="50"/>
      <c r="UA66" s="50"/>
      <c r="UB66" s="50"/>
      <c r="UC66" s="50"/>
      <c r="UD66" s="50"/>
      <c r="UE66" s="50"/>
      <c r="UF66" s="50"/>
      <c r="UG66" s="50"/>
      <c r="UH66" s="50"/>
      <c r="UI66" s="50"/>
      <c r="UJ66" s="50"/>
      <c r="UK66" s="50"/>
      <c r="UL66" s="50"/>
      <c r="UM66" s="50"/>
      <c r="UN66" s="50"/>
      <c r="UO66" s="50"/>
      <c r="UP66" s="50"/>
      <c r="UQ66" s="50"/>
      <c r="UR66" s="50"/>
      <c r="US66" s="50"/>
      <c r="UT66" s="50"/>
      <c r="UU66" s="50"/>
      <c r="UV66" s="50"/>
      <c r="UW66" s="50"/>
      <c r="UX66" s="50"/>
      <c r="UY66" s="50"/>
      <c r="UZ66" s="50"/>
      <c r="VA66" s="50"/>
      <c r="VB66" s="50"/>
      <c r="VC66" s="50"/>
      <c r="VD66" s="50"/>
      <c r="VE66" s="50"/>
      <c r="VF66" s="50"/>
      <c r="VG66" s="50"/>
      <c r="VH66" s="50"/>
      <c r="VI66" s="50"/>
      <c r="VJ66" s="50"/>
      <c r="VK66" s="50"/>
      <c r="VL66" s="50"/>
      <c r="VM66" s="50"/>
      <c r="VN66" s="50"/>
      <c r="VO66" s="50"/>
      <c r="VP66" s="50"/>
      <c r="VQ66" s="50"/>
      <c r="VR66" s="50"/>
      <c r="VS66" s="50"/>
      <c r="VT66" s="50"/>
      <c r="VU66" s="50"/>
      <c r="VV66" s="50"/>
      <c r="VW66" s="50"/>
      <c r="VX66" s="50"/>
      <c r="VY66" s="50"/>
      <c r="VZ66" s="50"/>
      <c r="WA66" s="50"/>
      <c r="WB66" s="50"/>
      <c r="WC66" s="50"/>
      <c r="WD66" s="50"/>
      <c r="WE66" s="50"/>
      <c r="WF66" s="50"/>
      <c r="WG66" s="50"/>
      <c r="WH66" s="50"/>
      <c r="WI66" s="50"/>
      <c r="WJ66" s="50"/>
      <c r="WK66" s="50"/>
      <c r="WL66" s="50"/>
      <c r="WM66" s="50"/>
      <c r="WN66" s="50"/>
      <c r="WO66" s="50"/>
      <c r="WP66" s="50"/>
      <c r="WQ66" s="50"/>
      <c r="WR66" s="50"/>
      <c r="WS66" s="50"/>
      <c r="WT66" s="50"/>
      <c r="WU66" s="50"/>
      <c r="WV66" s="50"/>
      <c r="WW66" s="50"/>
      <c r="WX66" s="50"/>
      <c r="WY66" s="50"/>
      <c r="WZ66" s="50"/>
      <c r="XA66" s="50"/>
      <c r="XB66" s="50"/>
      <c r="XC66" s="50"/>
      <c r="XD66" s="50"/>
      <c r="XE66" s="50"/>
      <c r="XF66" s="50"/>
      <c r="XG66" s="50"/>
      <c r="XH66" s="50"/>
      <c r="XI66" s="50"/>
      <c r="XJ66" s="50"/>
      <c r="XK66" s="50"/>
      <c r="XL66" s="50"/>
      <c r="XM66" s="50"/>
      <c r="XN66" s="50"/>
      <c r="XO66" s="50"/>
      <c r="XP66" s="50"/>
      <c r="XQ66" s="50"/>
      <c r="XR66" s="50"/>
      <c r="XS66" s="50"/>
      <c r="XT66" s="50"/>
      <c r="XU66" s="50"/>
      <c r="XV66" s="50"/>
      <c r="XW66" s="50"/>
      <c r="XX66" s="50"/>
      <c r="XY66" s="50"/>
      <c r="XZ66" s="50"/>
      <c r="YA66" s="50"/>
      <c r="YB66" s="50"/>
      <c r="YC66" s="50"/>
      <c r="YD66" s="50"/>
      <c r="YE66" s="50"/>
      <c r="YF66" s="50"/>
      <c r="YG66" s="50"/>
      <c r="YH66" s="50"/>
      <c r="YI66" s="50"/>
      <c r="YJ66" s="50"/>
      <c r="YK66" s="50"/>
      <c r="YL66" s="50"/>
      <c r="YM66" s="50"/>
      <c r="YN66" s="50"/>
      <c r="YO66" s="50"/>
      <c r="YP66" s="50"/>
      <c r="YQ66" s="50"/>
      <c r="YR66" s="50"/>
      <c r="YS66" s="50"/>
      <c r="YT66" s="50"/>
      <c r="YU66" s="50"/>
      <c r="YV66" s="50"/>
      <c r="YW66" s="50"/>
      <c r="YX66" s="50"/>
      <c r="YY66" s="50"/>
      <c r="YZ66" s="50"/>
      <c r="ZA66" s="50"/>
      <c r="ZB66" s="50"/>
      <c r="ZC66" s="50"/>
      <c r="ZD66" s="50"/>
      <c r="ZE66" s="50"/>
      <c r="ZF66" s="50"/>
      <c r="ZG66" s="50"/>
      <c r="ZH66" s="50"/>
      <c r="ZI66" s="50"/>
      <c r="ZJ66" s="50"/>
      <c r="ZK66" s="50"/>
      <c r="ZL66" s="50"/>
      <c r="ZM66" s="50"/>
      <c r="ZN66" s="50"/>
      <c r="ZO66" s="50"/>
      <c r="ZP66" s="50"/>
      <c r="ZQ66" s="50"/>
      <c r="ZR66" s="50"/>
      <c r="ZS66" s="50"/>
      <c r="ZT66" s="50"/>
      <c r="ZU66" s="50"/>
      <c r="ZV66" s="50"/>
      <c r="ZW66" s="50"/>
      <c r="ZX66" s="50"/>
      <c r="ZY66" s="50"/>
      <c r="ZZ66" s="50"/>
      <c r="AAA66" s="50"/>
      <c r="AAB66" s="50"/>
      <c r="AAC66" s="50"/>
      <c r="AAD66" s="50"/>
      <c r="AAE66" s="50"/>
      <c r="AAF66" s="50"/>
      <c r="AAG66" s="50"/>
      <c r="AAH66" s="50"/>
      <c r="AAI66" s="50"/>
      <c r="AAJ66" s="50"/>
      <c r="AAK66" s="50"/>
      <c r="AAL66" s="50"/>
      <c r="AAM66" s="50"/>
      <c r="AAN66" s="50"/>
      <c r="AAO66" s="50"/>
      <c r="AAP66" s="50"/>
      <c r="AAQ66" s="50"/>
      <c r="AAR66" s="50"/>
      <c r="AAS66" s="50"/>
      <c r="AAT66" s="50"/>
      <c r="AAU66" s="50"/>
      <c r="AAV66" s="50"/>
      <c r="AAW66" s="50"/>
      <c r="AAX66" s="50"/>
      <c r="AAY66" s="50"/>
      <c r="AAZ66" s="50"/>
      <c r="ABA66" s="50"/>
      <c r="ABB66" s="50"/>
      <c r="ABC66" s="50"/>
      <c r="ABD66" s="50"/>
      <c r="ABE66" s="50"/>
      <c r="ABF66" s="50"/>
      <c r="ABG66" s="50"/>
      <c r="ABH66" s="50"/>
      <c r="ABI66" s="50"/>
      <c r="ABJ66" s="50"/>
      <c r="ABK66" s="50"/>
      <c r="ABL66" s="50"/>
      <c r="ABM66" s="50"/>
      <c r="ABN66" s="50"/>
      <c r="ABO66" s="50"/>
      <c r="ABP66" s="50"/>
      <c r="ABQ66" s="50"/>
      <c r="ABR66" s="50"/>
      <c r="ABS66" s="50"/>
      <c r="ABT66" s="50"/>
      <c r="ABU66" s="50"/>
      <c r="ABV66" s="50"/>
      <c r="ABW66" s="50"/>
      <c r="ABX66" s="50"/>
      <c r="ABY66" s="50"/>
      <c r="ABZ66" s="50"/>
      <c r="ACA66" s="50"/>
      <c r="ACB66" s="50"/>
      <c r="ACC66" s="50"/>
      <c r="ACD66" s="50"/>
      <c r="ACE66" s="50"/>
      <c r="ACF66" s="50"/>
      <c r="ACG66" s="50"/>
      <c r="ACH66" s="50"/>
      <c r="ACI66" s="50"/>
      <c r="ACJ66" s="50"/>
      <c r="ACK66" s="50"/>
      <c r="ACL66" s="50"/>
      <c r="ACM66" s="50"/>
      <c r="ACN66" s="50"/>
      <c r="ACO66" s="50"/>
      <c r="ACP66" s="50"/>
      <c r="ACQ66" s="50"/>
      <c r="ACR66" s="50"/>
      <c r="ACS66" s="50"/>
      <c r="ACT66" s="50"/>
      <c r="ACU66" s="50"/>
      <c r="ACV66" s="50"/>
      <c r="ACW66" s="50"/>
      <c r="ACX66" s="50"/>
      <c r="ACY66" s="50"/>
      <c r="ACZ66" s="50"/>
      <c r="ADA66" s="50"/>
      <c r="ADB66" s="50"/>
      <c r="ADC66" s="50"/>
      <c r="ADD66" s="50"/>
      <c r="ADE66" s="50"/>
      <c r="ADF66" s="50"/>
      <c r="ADG66" s="50"/>
      <c r="ADH66" s="50"/>
      <c r="ADI66" s="50"/>
      <c r="ADJ66" s="50"/>
      <c r="ADK66" s="50"/>
      <c r="ADL66" s="50"/>
      <c r="ADM66" s="50"/>
      <c r="ADN66" s="50"/>
      <c r="ADO66" s="50"/>
      <c r="ADP66" s="50"/>
      <c r="ADQ66" s="50"/>
      <c r="ADR66" s="50"/>
      <c r="ADS66" s="50"/>
      <c r="ADT66" s="50"/>
      <c r="ADU66" s="50"/>
      <c r="ADV66" s="50"/>
      <c r="ADW66" s="50"/>
      <c r="ADX66" s="50"/>
      <c r="ADY66" s="50"/>
      <c r="ADZ66" s="50"/>
      <c r="AEA66" s="50"/>
      <c r="AEB66" s="50"/>
      <c r="AEC66" s="50"/>
      <c r="AED66" s="50"/>
      <c r="AEE66" s="50"/>
      <c r="AEF66" s="50"/>
      <c r="AEG66" s="50"/>
      <c r="AEH66" s="50"/>
      <c r="AEI66" s="50"/>
      <c r="AEJ66" s="50"/>
      <c r="AEK66" s="50"/>
      <c r="AEL66" s="50"/>
      <c r="AEM66" s="50"/>
      <c r="AEN66" s="50"/>
      <c r="AEO66" s="50"/>
      <c r="AEP66" s="50"/>
      <c r="AEQ66" s="50"/>
      <c r="AER66" s="50"/>
    </row>
    <row r="67" spans="1:824" s="51" customFormat="1" ht="54.95" customHeight="1" x14ac:dyDescent="0.3">
      <c r="A67" s="44">
        <v>37</v>
      </c>
      <c r="B67" s="47" t="s">
        <v>197</v>
      </c>
      <c r="C67" s="44">
        <v>3223004639</v>
      </c>
      <c r="D67" s="40" t="s">
        <v>95</v>
      </c>
      <c r="E67" s="35" t="s">
        <v>198</v>
      </c>
      <c r="F67" s="44" t="s">
        <v>75</v>
      </c>
      <c r="G67" s="35" t="s">
        <v>188</v>
      </c>
      <c r="H67" s="38"/>
      <c r="I67" s="39"/>
      <c r="J67" s="39">
        <v>2474.9</v>
      </c>
      <c r="K67" s="39">
        <v>2474.9</v>
      </c>
      <c r="L67" s="39"/>
      <c r="M67" s="38"/>
      <c r="N67" s="38">
        <v>23.4</v>
      </c>
      <c r="O67" s="38">
        <v>23.4</v>
      </c>
      <c r="P67" s="38"/>
      <c r="Q67" s="38">
        <v>23.4</v>
      </c>
      <c r="R67" s="38">
        <v>776.2</v>
      </c>
      <c r="S67" s="38">
        <v>0.5</v>
      </c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50"/>
      <c r="SD67" s="50"/>
      <c r="SE67" s="50"/>
      <c r="SF67" s="50"/>
      <c r="SG67" s="50"/>
      <c r="SH67" s="50"/>
      <c r="SI67" s="50"/>
      <c r="SJ67" s="50"/>
      <c r="SK67" s="50"/>
      <c r="SL67" s="50"/>
      <c r="SM67" s="50"/>
      <c r="SN67" s="50"/>
      <c r="SO67" s="50"/>
      <c r="SP67" s="50"/>
      <c r="SQ67" s="50"/>
      <c r="SR67" s="50"/>
      <c r="SS67" s="50"/>
      <c r="ST67" s="50"/>
      <c r="SU67" s="50"/>
      <c r="SV67" s="50"/>
      <c r="SW67" s="50"/>
      <c r="SX67" s="50"/>
      <c r="SY67" s="50"/>
      <c r="SZ67" s="50"/>
      <c r="TA67" s="50"/>
      <c r="TB67" s="50"/>
      <c r="TC67" s="50"/>
      <c r="TD67" s="50"/>
      <c r="TE67" s="50"/>
      <c r="TF67" s="50"/>
      <c r="TG67" s="50"/>
      <c r="TH67" s="50"/>
      <c r="TI67" s="50"/>
      <c r="TJ67" s="50"/>
      <c r="TK67" s="50"/>
      <c r="TL67" s="50"/>
      <c r="TM67" s="50"/>
      <c r="TN67" s="50"/>
      <c r="TO67" s="50"/>
      <c r="TP67" s="50"/>
      <c r="TQ67" s="50"/>
      <c r="TR67" s="50"/>
      <c r="TS67" s="50"/>
      <c r="TT67" s="50"/>
      <c r="TU67" s="50"/>
      <c r="TV67" s="50"/>
      <c r="TW67" s="50"/>
      <c r="TX67" s="50"/>
      <c r="TY67" s="50"/>
      <c r="TZ67" s="50"/>
      <c r="UA67" s="50"/>
      <c r="UB67" s="50"/>
      <c r="UC67" s="50"/>
      <c r="UD67" s="50"/>
      <c r="UE67" s="50"/>
      <c r="UF67" s="50"/>
      <c r="UG67" s="50"/>
      <c r="UH67" s="50"/>
      <c r="UI67" s="50"/>
      <c r="UJ67" s="50"/>
      <c r="UK67" s="50"/>
      <c r="UL67" s="50"/>
      <c r="UM67" s="50"/>
      <c r="UN67" s="50"/>
      <c r="UO67" s="50"/>
      <c r="UP67" s="50"/>
      <c r="UQ67" s="50"/>
      <c r="UR67" s="50"/>
      <c r="US67" s="50"/>
      <c r="UT67" s="50"/>
      <c r="UU67" s="50"/>
      <c r="UV67" s="50"/>
      <c r="UW67" s="50"/>
      <c r="UX67" s="50"/>
      <c r="UY67" s="50"/>
      <c r="UZ67" s="50"/>
      <c r="VA67" s="50"/>
      <c r="VB67" s="50"/>
      <c r="VC67" s="50"/>
      <c r="VD67" s="50"/>
      <c r="VE67" s="50"/>
      <c r="VF67" s="50"/>
      <c r="VG67" s="50"/>
      <c r="VH67" s="50"/>
      <c r="VI67" s="50"/>
      <c r="VJ67" s="50"/>
      <c r="VK67" s="50"/>
      <c r="VL67" s="50"/>
      <c r="VM67" s="50"/>
      <c r="VN67" s="50"/>
      <c r="VO67" s="50"/>
      <c r="VP67" s="50"/>
      <c r="VQ67" s="50"/>
      <c r="VR67" s="50"/>
      <c r="VS67" s="50"/>
      <c r="VT67" s="50"/>
      <c r="VU67" s="50"/>
      <c r="VV67" s="50"/>
      <c r="VW67" s="50"/>
      <c r="VX67" s="50"/>
      <c r="VY67" s="50"/>
      <c r="VZ67" s="50"/>
      <c r="WA67" s="50"/>
      <c r="WB67" s="50"/>
      <c r="WC67" s="50"/>
      <c r="WD67" s="50"/>
      <c r="WE67" s="50"/>
      <c r="WF67" s="50"/>
      <c r="WG67" s="50"/>
      <c r="WH67" s="50"/>
      <c r="WI67" s="50"/>
      <c r="WJ67" s="50"/>
      <c r="WK67" s="50"/>
      <c r="WL67" s="50"/>
      <c r="WM67" s="50"/>
      <c r="WN67" s="50"/>
      <c r="WO67" s="50"/>
      <c r="WP67" s="50"/>
      <c r="WQ67" s="50"/>
      <c r="WR67" s="50"/>
      <c r="WS67" s="50"/>
      <c r="WT67" s="50"/>
      <c r="WU67" s="50"/>
      <c r="WV67" s="50"/>
      <c r="WW67" s="50"/>
      <c r="WX67" s="50"/>
      <c r="WY67" s="50"/>
      <c r="WZ67" s="50"/>
      <c r="XA67" s="50"/>
      <c r="XB67" s="50"/>
      <c r="XC67" s="50"/>
      <c r="XD67" s="50"/>
      <c r="XE67" s="50"/>
      <c r="XF67" s="50"/>
      <c r="XG67" s="50"/>
      <c r="XH67" s="50"/>
      <c r="XI67" s="50"/>
      <c r="XJ67" s="50"/>
      <c r="XK67" s="50"/>
      <c r="XL67" s="50"/>
      <c r="XM67" s="50"/>
      <c r="XN67" s="50"/>
      <c r="XO67" s="50"/>
      <c r="XP67" s="50"/>
      <c r="XQ67" s="50"/>
      <c r="XR67" s="50"/>
      <c r="XS67" s="50"/>
      <c r="XT67" s="50"/>
      <c r="XU67" s="50"/>
      <c r="XV67" s="50"/>
      <c r="XW67" s="50"/>
      <c r="XX67" s="50"/>
      <c r="XY67" s="50"/>
      <c r="XZ67" s="50"/>
      <c r="YA67" s="50"/>
      <c r="YB67" s="50"/>
      <c r="YC67" s="50"/>
      <c r="YD67" s="50"/>
      <c r="YE67" s="50"/>
      <c r="YF67" s="50"/>
      <c r="YG67" s="50"/>
      <c r="YH67" s="50"/>
      <c r="YI67" s="50"/>
      <c r="YJ67" s="50"/>
      <c r="YK67" s="50"/>
      <c r="YL67" s="50"/>
      <c r="YM67" s="50"/>
      <c r="YN67" s="50"/>
      <c r="YO67" s="50"/>
      <c r="YP67" s="50"/>
      <c r="YQ67" s="50"/>
      <c r="YR67" s="50"/>
      <c r="YS67" s="50"/>
      <c r="YT67" s="50"/>
      <c r="YU67" s="50"/>
      <c r="YV67" s="50"/>
      <c r="YW67" s="50"/>
      <c r="YX67" s="50"/>
      <c r="YY67" s="50"/>
      <c r="YZ67" s="50"/>
      <c r="ZA67" s="50"/>
      <c r="ZB67" s="50"/>
      <c r="ZC67" s="50"/>
      <c r="ZD67" s="50"/>
      <c r="ZE67" s="50"/>
      <c r="ZF67" s="50"/>
      <c r="ZG67" s="50"/>
      <c r="ZH67" s="50"/>
      <c r="ZI67" s="50"/>
      <c r="ZJ67" s="50"/>
      <c r="ZK67" s="50"/>
      <c r="ZL67" s="50"/>
      <c r="ZM67" s="50"/>
      <c r="ZN67" s="50"/>
      <c r="ZO67" s="50"/>
      <c r="ZP67" s="50"/>
      <c r="ZQ67" s="50"/>
      <c r="ZR67" s="50"/>
      <c r="ZS67" s="50"/>
      <c r="ZT67" s="50"/>
      <c r="ZU67" s="50"/>
      <c r="ZV67" s="50"/>
      <c r="ZW67" s="50"/>
      <c r="ZX67" s="50"/>
      <c r="ZY67" s="50"/>
      <c r="ZZ67" s="50"/>
      <c r="AAA67" s="50"/>
      <c r="AAB67" s="50"/>
      <c r="AAC67" s="50"/>
      <c r="AAD67" s="50"/>
      <c r="AAE67" s="50"/>
      <c r="AAF67" s="50"/>
      <c r="AAG67" s="50"/>
      <c r="AAH67" s="50"/>
      <c r="AAI67" s="50"/>
      <c r="AAJ67" s="50"/>
      <c r="AAK67" s="50"/>
      <c r="AAL67" s="50"/>
      <c r="AAM67" s="50"/>
      <c r="AAN67" s="50"/>
      <c r="AAO67" s="50"/>
      <c r="AAP67" s="50"/>
      <c r="AAQ67" s="50"/>
      <c r="AAR67" s="50"/>
      <c r="AAS67" s="50"/>
      <c r="AAT67" s="50"/>
      <c r="AAU67" s="50"/>
      <c r="AAV67" s="50"/>
      <c r="AAW67" s="50"/>
      <c r="AAX67" s="50"/>
      <c r="AAY67" s="50"/>
      <c r="AAZ67" s="50"/>
      <c r="ABA67" s="50"/>
      <c r="ABB67" s="50"/>
      <c r="ABC67" s="50"/>
      <c r="ABD67" s="50"/>
      <c r="ABE67" s="50"/>
      <c r="ABF67" s="50"/>
      <c r="ABG67" s="50"/>
      <c r="ABH67" s="50"/>
      <c r="ABI67" s="50"/>
      <c r="ABJ67" s="50"/>
      <c r="ABK67" s="50"/>
      <c r="ABL67" s="50"/>
      <c r="ABM67" s="50"/>
      <c r="ABN67" s="50"/>
      <c r="ABO67" s="50"/>
      <c r="ABP67" s="50"/>
      <c r="ABQ67" s="50"/>
      <c r="ABR67" s="50"/>
      <c r="ABS67" s="50"/>
      <c r="ABT67" s="50"/>
      <c r="ABU67" s="50"/>
      <c r="ABV67" s="50"/>
      <c r="ABW67" s="50"/>
      <c r="ABX67" s="50"/>
      <c r="ABY67" s="50"/>
      <c r="ABZ67" s="50"/>
      <c r="ACA67" s="50"/>
      <c r="ACB67" s="50"/>
      <c r="ACC67" s="50"/>
      <c r="ACD67" s="50"/>
      <c r="ACE67" s="50"/>
      <c r="ACF67" s="50"/>
      <c r="ACG67" s="50"/>
      <c r="ACH67" s="50"/>
      <c r="ACI67" s="50"/>
      <c r="ACJ67" s="50"/>
      <c r="ACK67" s="50"/>
      <c r="ACL67" s="50"/>
      <c r="ACM67" s="50"/>
      <c r="ACN67" s="50"/>
      <c r="ACO67" s="50"/>
      <c r="ACP67" s="50"/>
      <c r="ACQ67" s="50"/>
      <c r="ACR67" s="50"/>
      <c r="ACS67" s="50"/>
      <c r="ACT67" s="50"/>
      <c r="ACU67" s="50"/>
      <c r="ACV67" s="50"/>
      <c r="ACW67" s="50"/>
      <c r="ACX67" s="50"/>
      <c r="ACY67" s="50"/>
      <c r="ACZ67" s="50"/>
      <c r="ADA67" s="50"/>
      <c r="ADB67" s="50"/>
      <c r="ADC67" s="50"/>
      <c r="ADD67" s="50"/>
      <c r="ADE67" s="50"/>
      <c r="ADF67" s="50"/>
      <c r="ADG67" s="50"/>
      <c r="ADH67" s="50"/>
      <c r="ADI67" s="50"/>
      <c r="ADJ67" s="50"/>
      <c r="ADK67" s="50"/>
      <c r="ADL67" s="50"/>
      <c r="ADM67" s="50"/>
      <c r="ADN67" s="50"/>
      <c r="ADO67" s="50"/>
      <c r="ADP67" s="50"/>
      <c r="ADQ67" s="50"/>
      <c r="ADR67" s="50"/>
      <c r="ADS67" s="50"/>
      <c r="ADT67" s="50"/>
      <c r="ADU67" s="50"/>
      <c r="ADV67" s="50"/>
      <c r="ADW67" s="50"/>
      <c r="ADX67" s="50"/>
      <c r="ADY67" s="50"/>
      <c r="ADZ67" s="50"/>
      <c r="AEA67" s="50"/>
      <c r="AEB67" s="50"/>
      <c r="AEC67" s="50"/>
      <c r="AED67" s="50"/>
      <c r="AEE67" s="50"/>
      <c r="AEF67" s="50"/>
      <c r="AEG67" s="50"/>
      <c r="AEH67" s="50"/>
      <c r="AEI67" s="50"/>
      <c r="AEJ67" s="50"/>
      <c r="AEK67" s="50"/>
      <c r="AEL67" s="50"/>
      <c r="AEM67" s="50"/>
      <c r="AEN67" s="50"/>
      <c r="AEO67" s="50"/>
      <c r="AEP67" s="50"/>
      <c r="AEQ67" s="50"/>
      <c r="AER67" s="50"/>
    </row>
    <row r="68" spans="1:824" s="51" customFormat="1" ht="54.95" customHeight="1" x14ac:dyDescent="0.3">
      <c r="A68" s="44">
        <v>38</v>
      </c>
      <c r="B68" s="47" t="s">
        <v>199</v>
      </c>
      <c r="C68" s="44">
        <v>3223004614</v>
      </c>
      <c r="D68" s="40" t="s">
        <v>95</v>
      </c>
      <c r="E68" s="35" t="s">
        <v>200</v>
      </c>
      <c r="F68" s="44" t="s">
        <v>75</v>
      </c>
      <c r="G68" s="35" t="s">
        <v>188</v>
      </c>
      <c r="H68" s="38">
        <v>8.4</v>
      </c>
      <c r="I68" s="39">
        <v>9</v>
      </c>
      <c r="J68" s="39">
        <f>2623518.79/1000</f>
        <v>2623.5187900000001</v>
      </c>
      <c r="K68" s="39">
        <v>2784</v>
      </c>
      <c r="L68" s="39">
        <v>2225.5</v>
      </c>
      <c r="M68" s="38">
        <v>2984</v>
      </c>
      <c r="N68" s="38">
        <f>125945/1000</f>
        <v>125.94499999999999</v>
      </c>
      <c r="O68" s="38">
        <v>160</v>
      </c>
      <c r="P68" s="38">
        <v>46.8</v>
      </c>
      <c r="Q68" s="38">
        <v>160</v>
      </c>
      <c r="R68" s="38">
        <v>563.9</v>
      </c>
      <c r="S68" s="38">
        <f>6269/10000</f>
        <v>0.62690000000000001</v>
      </c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50"/>
      <c r="SD68" s="50"/>
      <c r="SE68" s="50"/>
      <c r="SF68" s="50"/>
      <c r="SG68" s="50"/>
      <c r="SH68" s="50"/>
      <c r="SI68" s="50"/>
      <c r="SJ68" s="50"/>
      <c r="SK68" s="50"/>
      <c r="SL68" s="50"/>
      <c r="SM68" s="50"/>
      <c r="SN68" s="50"/>
      <c r="SO68" s="50"/>
      <c r="SP68" s="50"/>
      <c r="SQ68" s="50"/>
      <c r="SR68" s="50"/>
      <c r="SS68" s="50"/>
      <c r="ST68" s="50"/>
      <c r="SU68" s="50"/>
      <c r="SV68" s="50"/>
      <c r="SW68" s="50"/>
      <c r="SX68" s="50"/>
      <c r="SY68" s="50"/>
      <c r="SZ68" s="50"/>
      <c r="TA68" s="50"/>
      <c r="TB68" s="50"/>
      <c r="TC68" s="50"/>
      <c r="TD68" s="50"/>
      <c r="TE68" s="50"/>
      <c r="TF68" s="50"/>
      <c r="TG68" s="50"/>
      <c r="TH68" s="50"/>
      <c r="TI68" s="50"/>
      <c r="TJ68" s="50"/>
      <c r="TK68" s="50"/>
      <c r="TL68" s="50"/>
      <c r="TM68" s="50"/>
      <c r="TN68" s="50"/>
      <c r="TO68" s="50"/>
      <c r="TP68" s="50"/>
      <c r="TQ68" s="50"/>
      <c r="TR68" s="50"/>
      <c r="TS68" s="50"/>
      <c r="TT68" s="50"/>
      <c r="TU68" s="50"/>
      <c r="TV68" s="50"/>
      <c r="TW68" s="50"/>
      <c r="TX68" s="50"/>
      <c r="TY68" s="50"/>
      <c r="TZ68" s="50"/>
      <c r="UA68" s="50"/>
      <c r="UB68" s="50"/>
      <c r="UC68" s="50"/>
      <c r="UD68" s="50"/>
      <c r="UE68" s="50"/>
      <c r="UF68" s="50"/>
      <c r="UG68" s="50"/>
      <c r="UH68" s="50"/>
      <c r="UI68" s="50"/>
      <c r="UJ68" s="50"/>
      <c r="UK68" s="50"/>
      <c r="UL68" s="50"/>
      <c r="UM68" s="50"/>
      <c r="UN68" s="50"/>
      <c r="UO68" s="50"/>
      <c r="UP68" s="50"/>
      <c r="UQ68" s="50"/>
      <c r="UR68" s="50"/>
      <c r="US68" s="50"/>
      <c r="UT68" s="50"/>
      <c r="UU68" s="50"/>
      <c r="UV68" s="50"/>
      <c r="UW68" s="50"/>
      <c r="UX68" s="50"/>
      <c r="UY68" s="50"/>
      <c r="UZ68" s="50"/>
      <c r="VA68" s="50"/>
      <c r="VB68" s="50"/>
      <c r="VC68" s="50"/>
      <c r="VD68" s="50"/>
      <c r="VE68" s="50"/>
      <c r="VF68" s="50"/>
      <c r="VG68" s="50"/>
      <c r="VH68" s="50"/>
      <c r="VI68" s="50"/>
      <c r="VJ68" s="50"/>
      <c r="VK68" s="50"/>
      <c r="VL68" s="50"/>
      <c r="VM68" s="50"/>
      <c r="VN68" s="50"/>
      <c r="VO68" s="50"/>
      <c r="VP68" s="50"/>
      <c r="VQ68" s="50"/>
      <c r="VR68" s="50"/>
      <c r="VS68" s="50"/>
      <c r="VT68" s="50"/>
      <c r="VU68" s="50"/>
      <c r="VV68" s="50"/>
      <c r="VW68" s="50"/>
      <c r="VX68" s="50"/>
      <c r="VY68" s="50"/>
      <c r="VZ68" s="50"/>
      <c r="WA68" s="50"/>
      <c r="WB68" s="50"/>
      <c r="WC68" s="50"/>
      <c r="WD68" s="50"/>
      <c r="WE68" s="50"/>
      <c r="WF68" s="50"/>
      <c r="WG68" s="50"/>
      <c r="WH68" s="50"/>
      <c r="WI68" s="50"/>
      <c r="WJ68" s="50"/>
      <c r="WK68" s="50"/>
      <c r="WL68" s="50"/>
      <c r="WM68" s="50"/>
      <c r="WN68" s="50"/>
      <c r="WO68" s="50"/>
      <c r="WP68" s="50"/>
      <c r="WQ68" s="50"/>
      <c r="WR68" s="50"/>
      <c r="WS68" s="50"/>
      <c r="WT68" s="50"/>
      <c r="WU68" s="50"/>
      <c r="WV68" s="50"/>
      <c r="WW68" s="50"/>
      <c r="WX68" s="50"/>
      <c r="WY68" s="50"/>
      <c r="WZ68" s="50"/>
      <c r="XA68" s="50"/>
      <c r="XB68" s="50"/>
      <c r="XC68" s="50"/>
      <c r="XD68" s="50"/>
      <c r="XE68" s="50"/>
      <c r="XF68" s="50"/>
      <c r="XG68" s="50"/>
      <c r="XH68" s="50"/>
      <c r="XI68" s="50"/>
      <c r="XJ68" s="50"/>
      <c r="XK68" s="50"/>
      <c r="XL68" s="50"/>
      <c r="XM68" s="50"/>
      <c r="XN68" s="50"/>
      <c r="XO68" s="50"/>
      <c r="XP68" s="50"/>
      <c r="XQ68" s="50"/>
      <c r="XR68" s="50"/>
      <c r="XS68" s="50"/>
      <c r="XT68" s="50"/>
      <c r="XU68" s="50"/>
      <c r="XV68" s="50"/>
      <c r="XW68" s="50"/>
      <c r="XX68" s="50"/>
      <c r="XY68" s="50"/>
      <c r="XZ68" s="50"/>
      <c r="YA68" s="50"/>
      <c r="YB68" s="50"/>
      <c r="YC68" s="50"/>
      <c r="YD68" s="50"/>
      <c r="YE68" s="50"/>
      <c r="YF68" s="50"/>
      <c r="YG68" s="50"/>
      <c r="YH68" s="50"/>
      <c r="YI68" s="50"/>
      <c r="YJ68" s="50"/>
      <c r="YK68" s="50"/>
      <c r="YL68" s="50"/>
      <c r="YM68" s="50"/>
      <c r="YN68" s="50"/>
      <c r="YO68" s="50"/>
      <c r="YP68" s="50"/>
      <c r="YQ68" s="50"/>
      <c r="YR68" s="50"/>
      <c r="YS68" s="50"/>
      <c r="YT68" s="50"/>
      <c r="YU68" s="50"/>
      <c r="YV68" s="50"/>
      <c r="YW68" s="50"/>
      <c r="YX68" s="50"/>
      <c r="YY68" s="50"/>
      <c r="YZ68" s="50"/>
      <c r="ZA68" s="50"/>
      <c r="ZB68" s="50"/>
      <c r="ZC68" s="50"/>
      <c r="ZD68" s="50"/>
      <c r="ZE68" s="50"/>
      <c r="ZF68" s="50"/>
      <c r="ZG68" s="50"/>
      <c r="ZH68" s="50"/>
      <c r="ZI68" s="50"/>
      <c r="ZJ68" s="50"/>
      <c r="ZK68" s="50"/>
      <c r="ZL68" s="50"/>
      <c r="ZM68" s="50"/>
      <c r="ZN68" s="50"/>
      <c r="ZO68" s="50"/>
      <c r="ZP68" s="50"/>
      <c r="ZQ68" s="50"/>
      <c r="ZR68" s="50"/>
      <c r="ZS68" s="50"/>
      <c r="ZT68" s="50"/>
      <c r="ZU68" s="50"/>
      <c r="ZV68" s="50"/>
      <c r="ZW68" s="50"/>
      <c r="ZX68" s="50"/>
      <c r="ZY68" s="50"/>
      <c r="ZZ68" s="50"/>
      <c r="AAA68" s="50"/>
      <c r="AAB68" s="50"/>
      <c r="AAC68" s="50"/>
      <c r="AAD68" s="50"/>
      <c r="AAE68" s="50"/>
      <c r="AAF68" s="50"/>
      <c r="AAG68" s="50"/>
      <c r="AAH68" s="50"/>
      <c r="AAI68" s="50"/>
      <c r="AAJ68" s="50"/>
      <c r="AAK68" s="50"/>
      <c r="AAL68" s="50"/>
      <c r="AAM68" s="50"/>
      <c r="AAN68" s="50"/>
      <c r="AAO68" s="50"/>
      <c r="AAP68" s="50"/>
      <c r="AAQ68" s="50"/>
      <c r="AAR68" s="50"/>
      <c r="AAS68" s="50"/>
      <c r="AAT68" s="50"/>
      <c r="AAU68" s="50"/>
      <c r="AAV68" s="50"/>
      <c r="AAW68" s="50"/>
      <c r="AAX68" s="50"/>
      <c r="AAY68" s="50"/>
      <c r="AAZ68" s="50"/>
      <c r="ABA68" s="50"/>
      <c r="ABB68" s="50"/>
      <c r="ABC68" s="50"/>
      <c r="ABD68" s="50"/>
      <c r="ABE68" s="50"/>
      <c r="ABF68" s="50"/>
      <c r="ABG68" s="50"/>
      <c r="ABH68" s="50"/>
      <c r="ABI68" s="50"/>
      <c r="ABJ68" s="50"/>
      <c r="ABK68" s="50"/>
      <c r="ABL68" s="50"/>
      <c r="ABM68" s="50"/>
      <c r="ABN68" s="50"/>
      <c r="ABO68" s="50"/>
      <c r="ABP68" s="50"/>
      <c r="ABQ68" s="50"/>
      <c r="ABR68" s="50"/>
      <c r="ABS68" s="50"/>
      <c r="ABT68" s="50"/>
      <c r="ABU68" s="50"/>
      <c r="ABV68" s="50"/>
      <c r="ABW68" s="50"/>
      <c r="ABX68" s="50"/>
      <c r="ABY68" s="50"/>
      <c r="ABZ68" s="50"/>
      <c r="ACA68" s="50"/>
      <c r="ACB68" s="50"/>
      <c r="ACC68" s="50"/>
      <c r="ACD68" s="50"/>
      <c r="ACE68" s="50"/>
      <c r="ACF68" s="50"/>
      <c r="ACG68" s="50"/>
      <c r="ACH68" s="50"/>
      <c r="ACI68" s="50"/>
      <c r="ACJ68" s="50"/>
      <c r="ACK68" s="50"/>
      <c r="ACL68" s="50"/>
      <c r="ACM68" s="50"/>
      <c r="ACN68" s="50"/>
      <c r="ACO68" s="50"/>
      <c r="ACP68" s="50"/>
      <c r="ACQ68" s="50"/>
      <c r="ACR68" s="50"/>
      <c r="ACS68" s="50"/>
      <c r="ACT68" s="50"/>
      <c r="ACU68" s="50"/>
      <c r="ACV68" s="50"/>
      <c r="ACW68" s="50"/>
      <c r="ACX68" s="50"/>
      <c r="ACY68" s="50"/>
      <c r="ACZ68" s="50"/>
      <c r="ADA68" s="50"/>
      <c r="ADB68" s="50"/>
      <c r="ADC68" s="50"/>
      <c r="ADD68" s="50"/>
      <c r="ADE68" s="50"/>
      <c r="ADF68" s="50"/>
      <c r="ADG68" s="50"/>
      <c r="ADH68" s="50"/>
      <c r="ADI68" s="50"/>
      <c r="ADJ68" s="50"/>
      <c r="ADK68" s="50"/>
      <c r="ADL68" s="50"/>
      <c r="ADM68" s="50"/>
      <c r="ADN68" s="50"/>
      <c r="ADO68" s="50"/>
      <c r="ADP68" s="50"/>
      <c r="ADQ68" s="50"/>
      <c r="ADR68" s="50"/>
      <c r="ADS68" s="50"/>
      <c r="ADT68" s="50"/>
      <c r="ADU68" s="50"/>
      <c r="ADV68" s="50"/>
      <c r="ADW68" s="50"/>
      <c r="ADX68" s="50"/>
      <c r="ADY68" s="50"/>
      <c r="ADZ68" s="50"/>
      <c r="AEA68" s="50"/>
      <c r="AEB68" s="50"/>
      <c r="AEC68" s="50"/>
      <c r="AED68" s="50"/>
      <c r="AEE68" s="50"/>
      <c r="AEF68" s="50"/>
      <c r="AEG68" s="50"/>
      <c r="AEH68" s="50"/>
      <c r="AEI68" s="50"/>
      <c r="AEJ68" s="50"/>
      <c r="AEK68" s="50"/>
      <c r="AEL68" s="50"/>
      <c r="AEM68" s="50"/>
      <c r="AEN68" s="50"/>
      <c r="AEO68" s="50"/>
      <c r="AEP68" s="50"/>
      <c r="AEQ68" s="50"/>
      <c r="AER68" s="50"/>
    </row>
    <row r="69" spans="1:824" s="51" customFormat="1" ht="54.95" customHeight="1" x14ac:dyDescent="0.3">
      <c r="A69" s="44">
        <v>39</v>
      </c>
      <c r="B69" s="47" t="s">
        <v>201</v>
      </c>
      <c r="C69" s="44">
        <v>3223004660</v>
      </c>
      <c r="D69" s="40" t="s">
        <v>95</v>
      </c>
      <c r="E69" s="35" t="s">
        <v>202</v>
      </c>
      <c r="F69" s="44" t="s">
        <v>75</v>
      </c>
      <c r="G69" s="35" t="s">
        <v>188</v>
      </c>
      <c r="H69" s="38">
        <v>8.3000000000000007</v>
      </c>
      <c r="I69" s="38">
        <v>10</v>
      </c>
      <c r="J69" s="38">
        <f>2483214.34/1000</f>
        <v>2483.21434</v>
      </c>
      <c r="K69" s="38">
        <v>2508.4</v>
      </c>
      <c r="L69" s="38">
        <v>1762.5</v>
      </c>
      <c r="M69" s="38">
        <v>2608</v>
      </c>
      <c r="N69" s="38">
        <f>37140/1000</f>
        <v>37.14</v>
      </c>
      <c r="O69" s="38">
        <v>40</v>
      </c>
      <c r="P69" s="38">
        <v>11</v>
      </c>
      <c r="Q69" s="38">
        <v>40</v>
      </c>
      <c r="R69" s="38">
        <v>487.2</v>
      </c>
      <c r="S69" s="38">
        <f>4025/10000</f>
        <v>0.40250000000000002</v>
      </c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50"/>
      <c r="SD69" s="50"/>
      <c r="SE69" s="50"/>
      <c r="SF69" s="50"/>
      <c r="SG69" s="50"/>
      <c r="SH69" s="50"/>
      <c r="SI69" s="50"/>
      <c r="SJ69" s="50"/>
      <c r="SK69" s="50"/>
      <c r="SL69" s="50"/>
      <c r="SM69" s="50"/>
      <c r="SN69" s="50"/>
      <c r="SO69" s="50"/>
      <c r="SP69" s="50"/>
      <c r="SQ69" s="50"/>
      <c r="SR69" s="50"/>
      <c r="SS69" s="50"/>
      <c r="ST69" s="50"/>
      <c r="SU69" s="50"/>
      <c r="SV69" s="50"/>
      <c r="SW69" s="50"/>
      <c r="SX69" s="50"/>
      <c r="SY69" s="50"/>
      <c r="SZ69" s="50"/>
      <c r="TA69" s="50"/>
      <c r="TB69" s="50"/>
      <c r="TC69" s="50"/>
      <c r="TD69" s="50"/>
      <c r="TE69" s="50"/>
      <c r="TF69" s="50"/>
      <c r="TG69" s="50"/>
      <c r="TH69" s="50"/>
      <c r="TI69" s="50"/>
      <c r="TJ69" s="50"/>
      <c r="TK69" s="50"/>
      <c r="TL69" s="50"/>
      <c r="TM69" s="50"/>
      <c r="TN69" s="50"/>
      <c r="TO69" s="50"/>
      <c r="TP69" s="50"/>
      <c r="TQ69" s="50"/>
      <c r="TR69" s="50"/>
      <c r="TS69" s="50"/>
      <c r="TT69" s="50"/>
      <c r="TU69" s="50"/>
      <c r="TV69" s="50"/>
      <c r="TW69" s="50"/>
      <c r="TX69" s="50"/>
      <c r="TY69" s="50"/>
      <c r="TZ69" s="50"/>
      <c r="UA69" s="50"/>
      <c r="UB69" s="50"/>
      <c r="UC69" s="50"/>
      <c r="UD69" s="50"/>
      <c r="UE69" s="50"/>
      <c r="UF69" s="50"/>
      <c r="UG69" s="50"/>
      <c r="UH69" s="50"/>
      <c r="UI69" s="50"/>
      <c r="UJ69" s="50"/>
      <c r="UK69" s="50"/>
      <c r="UL69" s="50"/>
      <c r="UM69" s="50"/>
      <c r="UN69" s="50"/>
      <c r="UO69" s="50"/>
      <c r="UP69" s="50"/>
      <c r="UQ69" s="50"/>
      <c r="UR69" s="50"/>
      <c r="US69" s="50"/>
      <c r="UT69" s="50"/>
      <c r="UU69" s="50"/>
      <c r="UV69" s="50"/>
      <c r="UW69" s="50"/>
      <c r="UX69" s="50"/>
      <c r="UY69" s="50"/>
      <c r="UZ69" s="50"/>
      <c r="VA69" s="50"/>
      <c r="VB69" s="50"/>
      <c r="VC69" s="50"/>
      <c r="VD69" s="50"/>
      <c r="VE69" s="50"/>
      <c r="VF69" s="50"/>
      <c r="VG69" s="50"/>
      <c r="VH69" s="50"/>
      <c r="VI69" s="50"/>
      <c r="VJ69" s="50"/>
      <c r="VK69" s="50"/>
      <c r="VL69" s="50"/>
      <c r="VM69" s="50"/>
      <c r="VN69" s="50"/>
      <c r="VO69" s="50"/>
      <c r="VP69" s="50"/>
      <c r="VQ69" s="50"/>
      <c r="VR69" s="50"/>
      <c r="VS69" s="50"/>
      <c r="VT69" s="50"/>
      <c r="VU69" s="50"/>
      <c r="VV69" s="50"/>
      <c r="VW69" s="50"/>
      <c r="VX69" s="50"/>
      <c r="VY69" s="50"/>
      <c r="VZ69" s="50"/>
      <c r="WA69" s="50"/>
      <c r="WB69" s="50"/>
      <c r="WC69" s="50"/>
      <c r="WD69" s="50"/>
      <c r="WE69" s="50"/>
      <c r="WF69" s="50"/>
      <c r="WG69" s="50"/>
      <c r="WH69" s="50"/>
      <c r="WI69" s="50"/>
      <c r="WJ69" s="50"/>
      <c r="WK69" s="50"/>
      <c r="WL69" s="50"/>
      <c r="WM69" s="50"/>
      <c r="WN69" s="50"/>
      <c r="WO69" s="50"/>
      <c r="WP69" s="50"/>
      <c r="WQ69" s="50"/>
      <c r="WR69" s="50"/>
      <c r="WS69" s="50"/>
      <c r="WT69" s="50"/>
      <c r="WU69" s="50"/>
      <c r="WV69" s="50"/>
      <c r="WW69" s="50"/>
      <c r="WX69" s="50"/>
      <c r="WY69" s="50"/>
      <c r="WZ69" s="50"/>
      <c r="XA69" s="50"/>
      <c r="XB69" s="50"/>
      <c r="XC69" s="50"/>
      <c r="XD69" s="50"/>
      <c r="XE69" s="50"/>
      <c r="XF69" s="50"/>
      <c r="XG69" s="50"/>
      <c r="XH69" s="50"/>
      <c r="XI69" s="50"/>
      <c r="XJ69" s="50"/>
      <c r="XK69" s="50"/>
      <c r="XL69" s="50"/>
      <c r="XM69" s="50"/>
      <c r="XN69" s="50"/>
      <c r="XO69" s="50"/>
      <c r="XP69" s="50"/>
      <c r="XQ69" s="50"/>
      <c r="XR69" s="50"/>
      <c r="XS69" s="50"/>
      <c r="XT69" s="50"/>
      <c r="XU69" s="50"/>
      <c r="XV69" s="50"/>
      <c r="XW69" s="50"/>
      <c r="XX69" s="50"/>
      <c r="XY69" s="50"/>
      <c r="XZ69" s="50"/>
      <c r="YA69" s="50"/>
      <c r="YB69" s="50"/>
      <c r="YC69" s="50"/>
      <c r="YD69" s="50"/>
      <c r="YE69" s="50"/>
      <c r="YF69" s="50"/>
      <c r="YG69" s="50"/>
      <c r="YH69" s="50"/>
      <c r="YI69" s="50"/>
      <c r="YJ69" s="50"/>
      <c r="YK69" s="50"/>
      <c r="YL69" s="50"/>
      <c r="YM69" s="50"/>
      <c r="YN69" s="50"/>
      <c r="YO69" s="50"/>
      <c r="YP69" s="50"/>
      <c r="YQ69" s="50"/>
      <c r="YR69" s="50"/>
      <c r="YS69" s="50"/>
      <c r="YT69" s="50"/>
      <c r="YU69" s="50"/>
      <c r="YV69" s="50"/>
      <c r="YW69" s="50"/>
      <c r="YX69" s="50"/>
      <c r="YY69" s="50"/>
      <c r="YZ69" s="50"/>
      <c r="ZA69" s="50"/>
      <c r="ZB69" s="50"/>
      <c r="ZC69" s="50"/>
      <c r="ZD69" s="50"/>
      <c r="ZE69" s="50"/>
      <c r="ZF69" s="50"/>
      <c r="ZG69" s="50"/>
      <c r="ZH69" s="50"/>
      <c r="ZI69" s="50"/>
      <c r="ZJ69" s="50"/>
      <c r="ZK69" s="50"/>
      <c r="ZL69" s="50"/>
      <c r="ZM69" s="50"/>
      <c r="ZN69" s="50"/>
      <c r="ZO69" s="50"/>
      <c r="ZP69" s="50"/>
      <c r="ZQ69" s="50"/>
      <c r="ZR69" s="50"/>
      <c r="ZS69" s="50"/>
      <c r="ZT69" s="50"/>
      <c r="ZU69" s="50"/>
      <c r="ZV69" s="50"/>
      <c r="ZW69" s="50"/>
      <c r="ZX69" s="50"/>
      <c r="ZY69" s="50"/>
      <c r="ZZ69" s="50"/>
      <c r="AAA69" s="50"/>
      <c r="AAB69" s="50"/>
      <c r="AAC69" s="50"/>
      <c r="AAD69" s="50"/>
      <c r="AAE69" s="50"/>
      <c r="AAF69" s="50"/>
      <c r="AAG69" s="50"/>
      <c r="AAH69" s="50"/>
      <c r="AAI69" s="50"/>
      <c r="AAJ69" s="50"/>
      <c r="AAK69" s="50"/>
      <c r="AAL69" s="50"/>
      <c r="AAM69" s="50"/>
      <c r="AAN69" s="50"/>
      <c r="AAO69" s="50"/>
      <c r="AAP69" s="50"/>
      <c r="AAQ69" s="50"/>
      <c r="AAR69" s="50"/>
      <c r="AAS69" s="50"/>
      <c r="AAT69" s="50"/>
      <c r="AAU69" s="50"/>
      <c r="AAV69" s="50"/>
      <c r="AAW69" s="50"/>
      <c r="AAX69" s="50"/>
      <c r="AAY69" s="50"/>
      <c r="AAZ69" s="50"/>
      <c r="ABA69" s="50"/>
      <c r="ABB69" s="50"/>
      <c r="ABC69" s="50"/>
      <c r="ABD69" s="50"/>
      <c r="ABE69" s="50"/>
      <c r="ABF69" s="50"/>
      <c r="ABG69" s="50"/>
      <c r="ABH69" s="50"/>
      <c r="ABI69" s="50"/>
      <c r="ABJ69" s="50"/>
      <c r="ABK69" s="50"/>
      <c r="ABL69" s="50"/>
      <c r="ABM69" s="50"/>
      <c r="ABN69" s="50"/>
      <c r="ABO69" s="50"/>
      <c r="ABP69" s="50"/>
      <c r="ABQ69" s="50"/>
      <c r="ABR69" s="50"/>
      <c r="ABS69" s="50"/>
      <c r="ABT69" s="50"/>
      <c r="ABU69" s="50"/>
      <c r="ABV69" s="50"/>
      <c r="ABW69" s="50"/>
      <c r="ABX69" s="50"/>
      <c r="ABY69" s="50"/>
      <c r="ABZ69" s="50"/>
      <c r="ACA69" s="50"/>
      <c r="ACB69" s="50"/>
      <c r="ACC69" s="50"/>
      <c r="ACD69" s="50"/>
      <c r="ACE69" s="50"/>
      <c r="ACF69" s="50"/>
      <c r="ACG69" s="50"/>
      <c r="ACH69" s="50"/>
      <c r="ACI69" s="50"/>
      <c r="ACJ69" s="50"/>
      <c r="ACK69" s="50"/>
      <c r="ACL69" s="50"/>
      <c r="ACM69" s="50"/>
      <c r="ACN69" s="50"/>
      <c r="ACO69" s="50"/>
      <c r="ACP69" s="50"/>
      <c r="ACQ69" s="50"/>
      <c r="ACR69" s="50"/>
      <c r="ACS69" s="50"/>
      <c r="ACT69" s="50"/>
      <c r="ACU69" s="50"/>
      <c r="ACV69" s="50"/>
      <c r="ACW69" s="50"/>
      <c r="ACX69" s="50"/>
      <c r="ACY69" s="50"/>
      <c r="ACZ69" s="50"/>
      <c r="ADA69" s="50"/>
      <c r="ADB69" s="50"/>
      <c r="ADC69" s="50"/>
      <c r="ADD69" s="50"/>
      <c r="ADE69" s="50"/>
      <c r="ADF69" s="50"/>
      <c r="ADG69" s="50"/>
      <c r="ADH69" s="50"/>
      <c r="ADI69" s="50"/>
      <c r="ADJ69" s="50"/>
      <c r="ADK69" s="50"/>
      <c r="ADL69" s="50"/>
      <c r="ADM69" s="50"/>
      <c r="ADN69" s="50"/>
      <c r="ADO69" s="50"/>
      <c r="ADP69" s="50"/>
      <c r="ADQ69" s="50"/>
      <c r="ADR69" s="50"/>
      <c r="ADS69" s="50"/>
      <c r="ADT69" s="50"/>
      <c r="ADU69" s="50"/>
      <c r="ADV69" s="50"/>
      <c r="ADW69" s="50"/>
      <c r="ADX69" s="50"/>
      <c r="ADY69" s="50"/>
      <c r="ADZ69" s="50"/>
      <c r="AEA69" s="50"/>
      <c r="AEB69" s="50"/>
      <c r="AEC69" s="50"/>
      <c r="AED69" s="50"/>
      <c r="AEE69" s="50"/>
      <c r="AEF69" s="50"/>
      <c r="AEG69" s="50"/>
      <c r="AEH69" s="50"/>
      <c r="AEI69" s="50"/>
      <c r="AEJ69" s="50"/>
      <c r="AEK69" s="50"/>
      <c r="AEL69" s="50"/>
      <c r="AEM69" s="50"/>
      <c r="AEN69" s="50"/>
      <c r="AEO69" s="50"/>
      <c r="AEP69" s="50"/>
      <c r="AEQ69" s="50"/>
      <c r="AER69" s="50"/>
    </row>
    <row r="70" spans="1:824" s="51" customFormat="1" ht="54.95" customHeight="1" x14ac:dyDescent="0.3">
      <c r="A70" s="44">
        <v>40</v>
      </c>
      <c r="B70" s="47" t="s">
        <v>203</v>
      </c>
      <c r="C70" s="44">
        <v>3223004621</v>
      </c>
      <c r="D70" s="40" t="s">
        <v>95</v>
      </c>
      <c r="E70" s="35" t="s">
        <v>204</v>
      </c>
      <c r="F70" s="44" t="s">
        <v>75</v>
      </c>
      <c r="G70" s="35" t="s">
        <v>188</v>
      </c>
      <c r="H70" s="38">
        <v>5.5</v>
      </c>
      <c r="I70" s="39">
        <v>6</v>
      </c>
      <c r="J70" s="39">
        <f>1828745.96/1000</f>
        <v>1828.74596</v>
      </c>
      <c r="K70" s="39">
        <v>1854.3</v>
      </c>
      <c r="L70" s="39">
        <v>1630.5</v>
      </c>
      <c r="M70" s="38">
        <v>1950</v>
      </c>
      <c r="N70" s="38">
        <f>104002.8/1000</f>
        <v>104.00280000000001</v>
      </c>
      <c r="O70" s="38">
        <v>104.4</v>
      </c>
      <c r="P70" s="38">
        <v>64.7</v>
      </c>
      <c r="Q70" s="38">
        <v>110</v>
      </c>
      <c r="R70" s="38">
        <v>299.5</v>
      </c>
      <c r="S70" s="38">
        <f>3801/10000</f>
        <v>0.38009999999999999</v>
      </c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  <c r="NW70" s="50"/>
      <c r="NX70" s="50"/>
      <c r="NY70" s="50"/>
      <c r="NZ70" s="50"/>
      <c r="OA70" s="50"/>
      <c r="OB70" s="50"/>
      <c r="OC70" s="50"/>
      <c r="OD70" s="50"/>
      <c r="OE70" s="50"/>
      <c r="OF70" s="50"/>
      <c r="OG70" s="50"/>
      <c r="OH70" s="50"/>
      <c r="OI70" s="50"/>
      <c r="OJ70" s="50"/>
      <c r="OK70" s="50"/>
      <c r="OL70" s="50"/>
      <c r="OM70" s="50"/>
      <c r="ON70" s="50"/>
      <c r="OO70" s="50"/>
      <c r="OP70" s="50"/>
      <c r="OQ70" s="50"/>
      <c r="OR70" s="50"/>
      <c r="OS70" s="50"/>
      <c r="OT70" s="50"/>
      <c r="OU70" s="50"/>
      <c r="OV70" s="50"/>
      <c r="OW70" s="50"/>
      <c r="OX70" s="50"/>
      <c r="OY70" s="50"/>
      <c r="OZ70" s="50"/>
      <c r="PA70" s="50"/>
      <c r="PB70" s="50"/>
      <c r="PC70" s="50"/>
      <c r="PD70" s="50"/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50"/>
      <c r="PV70" s="50"/>
      <c r="PW70" s="50"/>
      <c r="PX70" s="50"/>
      <c r="PY70" s="50"/>
      <c r="PZ70" s="50"/>
      <c r="QA70" s="50"/>
      <c r="QB70" s="50"/>
      <c r="QC70" s="50"/>
      <c r="QD70" s="50"/>
      <c r="QE70" s="50"/>
      <c r="QF70" s="50"/>
      <c r="QG70" s="50"/>
      <c r="QH70" s="50"/>
      <c r="QI70" s="50"/>
      <c r="QJ70" s="50"/>
      <c r="QK70" s="50"/>
      <c r="QL70" s="50"/>
      <c r="QM70" s="50"/>
      <c r="QN70" s="50"/>
      <c r="QO70" s="50"/>
      <c r="QP70" s="50"/>
      <c r="QQ70" s="50"/>
      <c r="QR70" s="50"/>
      <c r="QS70" s="50"/>
      <c r="QT70" s="50"/>
      <c r="QU70" s="50"/>
      <c r="QV70" s="50"/>
      <c r="QW70" s="50"/>
      <c r="QX70" s="50"/>
      <c r="QY70" s="50"/>
      <c r="QZ70" s="50"/>
      <c r="RA70" s="50"/>
      <c r="RB70" s="50"/>
      <c r="RC70" s="50"/>
      <c r="RD70" s="50"/>
      <c r="RE70" s="50"/>
      <c r="RF70" s="50"/>
      <c r="RG70" s="50"/>
      <c r="RH70" s="50"/>
      <c r="RI70" s="50"/>
      <c r="RJ70" s="50"/>
      <c r="RK70" s="50"/>
      <c r="RL70" s="50"/>
      <c r="RM70" s="50"/>
      <c r="RN70" s="50"/>
      <c r="RO70" s="50"/>
      <c r="RP70" s="50"/>
      <c r="RQ70" s="50"/>
      <c r="RR70" s="50"/>
      <c r="RS70" s="50"/>
      <c r="RT70" s="50"/>
      <c r="RU70" s="50"/>
      <c r="RV70" s="50"/>
      <c r="RW70" s="50"/>
      <c r="RX70" s="50"/>
      <c r="RY70" s="50"/>
      <c r="RZ70" s="50"/>
      <c r="SA70" s="50"/>
      <c r="SB70" s="50"/>
      <c r="SC70" s="50"/>
      <c r="SD70" s="50"/>
      <c r="SE70" s="50"/>
      <c r="SF70" s="50"/>
      <c r="SG70" s="50"/>
      <c r="SH70" s="50"/>
      <c r="SI70" s="50"/>
      <c r="SJ70" s="50"/>
      <c r="SK70" s="50"/>
      <c r="SL70" s="50"/>
      <c r="SM70" s="50"/>
      <c r="SN70" s="50"/>
      <c r="SO70" s="50"/>
      <c r="SP70" s="50"/>
      <c r="SQ70" s="50"/>
      <c r="SR70" s="50"/>
      <c r="SS70" s="50"/>
      <c r="ST70" s="50"/>
      <c r="SU70" s="50"/>
      <c r="SV70" s="50"/>
      <c r="SW70" s="50"/>
      <c r="SX70" s="50"/>
      <c r="SY70" s="50"/>
      <c r="SZ70" s="50"/>
      <c r="TA70" s="50"/>
      <c r="TB70" s="50"/>
      <c r="TC70" s="50"/>
      <c r="TD70" s="50"/>
      <c r="TE70" s="50"/>
      <c r="TF70" s="50"/>
      <c r="TG70" s="50"/>
      <c r="TH70" s="50"/>
      <c r="TI70" s="50"/>
      <c r="TJ70" s="50"/>
      <c r="TK70" s="50"/>
      <c r="TL70" s="50"/>
      <c r="TM70" s="50"/>
      <c r="TN70" s="50"/>
      <c r="TO70" s="50"/>
      <c r="TP70" s="50"/>
      <c r="TQ70" s="50"/>
      <c r="TR70" s="50"/>
      <c r="TS70" s="50"/>
      <c r="TT70" s="50"/>
      <c r="TU70" s="50"/>
      <c r="TV70" s="50"/>
      <c r="TW70" s="50"/>
      <c r="TX70" s="50"/>
      <c r="TY70" s="50"/>
      <c r="TZ70" s="50"/>
      <c r="UA70" s="50"/>
      <c r="UB70" s="50"/>
      <c r="UC70" s="50"/>
      <c r="UD70" s="50"/>
      <c r="UE70" s="50"/>
      <c r="UF70" s="50"/>
      <c r="UG70" s="50"/>
      <c r="UH70" s="50"/>
      <c r="UI70" s="50"/>
      <c r="UJ70" s="50"/>
      <c r="UK70" s="50"/>
      <c r="UL70" s="50"/>
      <c r="UM70" s="50"/>
      <c r="UN70" s="50"/>
      <c r="UO70" s="50"/>
      <c r="UP70" s="50"/>
      <c r="UQ70" s="50"/>
      <c r="UR70" s="50"/>
      <c r="US70" s="50"/>
      <c r="UT70" s="50"/>
      <c r="UU70" s="50"/>
      <c r="UV70" s="50"/>
      <c r="UW70" s="50"/>
      <c r="UX70" s="50"/>
      <c r="UY70" s="50"/>
      <c r="UZ70" s="50"/>
      <c r="VA70" s="50"/>
      <c r="VB70" s="50"/>
      <c r="VC70" s="50"/>
      <c r="VD70" s="50"/>
      <c r="VE70" s="50"/>
      <c r="VF70" s="50"/>
      <c r="VG70" s="50"/>
      <c r="VH70" s="50"/>
      <c r="VI70" s="50"/>
      <c r="VJ70" s="50"/>
      <c r="VK70" s="50"/>
      <c r="VL70" s="50"/>
      <c r="VM70" s="50"/>
      <c r="VN70" s="50"/>
      <c r="VO70" s="50"/>
      <c r="VP70" s="50"/>
      <c r="VQ70" s="50"/>
      <c r="VR70" s="50"/>
      <c r="VS70" s="50"/>
      <c r="VT70" s="50"/>
      <c r="VU70" s="50"/>
      <c r="VV70" s="50"/>
      <c r="VW70" s="50"/>
      <c r="VX70" s="50"/>
      <c r="VY70" s="50"/>
      <c r="VZ70" s="50"/>
      <c r="WA70" s="50"/>
      <c r="WB70" s="50"/>
      <c r="WC70" s="50"/>
      <c r="WD70" s="50"/>
      <c r="WE70" s="50"/>
      <c r="WF70" s="50"/>
      <c r="WG70" s="50"/>
      <c r="WH70" s="50"/>
      <c r="WI70" s="50"/>
      <c r="WJ70" s="50"/>
      <c r="WK70" s="50"/>
      <c r="WL70" s="50"/>
      <c r="WM70" s="50"/>
      <c r="WN70" s="50"/>
      <c r="WO70" s="50"/>
      <c r="WP70" s="50"/>
      <c r="WQ70" s="50"/>
      <c r="WR70" s="50"/>
      <c r="WS70" s="50"/>
      <c r="WT70" s="50"/>
      <c r="WU70" s="50"/>
      <c r="WV70" s="50"/>
      <c r="WW70" s="50"/>
      <c r="WX70" s="50"/>
      <c r="WY70" s="50"/>
      <c r="WZ70" s="50"/>
      <c r="XA70" s="50"/>
      <c r="XB70" s="50"/>
      <c r="XC70" s="50"/>
      <c r="XD70" s="50"/>
      <c r="XE70" s="50"/>
      <c r="XF70" s="50"/>
      <c r="XG70" s="50"/>
      <c r="XH70" s="50"/>
      <c r="XI70" s="50"/>
      <c r="XJ70" s="50"/>
      <c r="XK70" s="50"/>
      <c r="XL70" s="50"/>
      <c r="XM70" s="50"/>
      <c r="XN70" s="50"/>
      <c r="XO70" s="50"/>
      <c r="XP70" s="50"/>
      <c r="XQ70" s="50"/>
      <c r="XR70" s="50"/>
      <c r="XS70" s="50"/>
      <c r="XT70" s="50"/>
      <c r="XU70" s="50"/>
      <c r="XV70" s="50"/>
      <c r="XW70" s="50"/>
      <c r="XX70" s="50"/>
      <c r="XY70" s="50"/>
      <c r="XZ70" s="50"/>
      <c r="YA70" s="50"/>
      <c r="YB70" s="50"/>
      <c r="YC70" s="50"/>
      <c r="YD70" s="50"/>
      <c r="YE70" s="50"/>
      <c r="YF70" s="50"/>
      <c r="YG70" s="50"/>
      <c r="YH70" s="50"/>
      <c r="YI70" s="50"/>
      <c r="YJ70" s="50"/>
      <c r="YK70" s="50"/>
      <c r="YL70" s="50"/>
      <c r="YM70" s="50"/>
      <c r="YN70" s="50"/>
      <c r="YO70" s="50"/>
      <c r="YP70" s="50"/>
      <c r="YQ70" s="50"/>
      <c r="YR70" s="50"/>
      <c r="YS70" s="50"/>
      <c r="YT70" s="50"/>
      <c r="YU70" s="50"/>
      <c r="YV70" s="50"/>
      <c r="YW70" s="50"/>
      <c r="YX70" s="50"/>
      <c r="YY70" s="50"/>
      <c r="YZ70" s="50"/>
      <c r="ZA70" s="50"/>
      <c r="ZB70" s="50"/>
      <c r="ZC70" s="50"/>
      <c r="ZD70" s="50"/>
      <c r="ZE70" s="50"/>
      <c r="ZF70" s="50"/>
      <c r="ZG70" s="50"/>
      <c r="ZH70" s="50"/>
      <c r="ZI70" s="50"/>
      <c r="ZJ70" s="50"/>
      <c r="ZK70" s="50"/>
      <c r="ZL70" s="50"/>
      <c r="ZM70" s="50"/>
      <c r="ZN70" s="50"/>
      <c r="ZO70" s="50"/>
      <c r="ZP70" s="50"/>
      <c r="ZQ70" s="50"/>
      <c r="ZR70" s="50"/>
      <c r="ZS70" s="50"/>
      <c r="ZT70" s="50"/>
      <c r="ZU70" s="50"/>
      <c r="ZV70" s="50"/>
      <c r="ZW70" s="50"/>
      <c r="ZX70" s="50"/>
      <c r="ZY70" s="50"/>
      <c r="ZZ70" s="50"/>
      <c r="AAA70" s="50"/>
      <c r="AAB70" s="50"/>
      <c r="AAC70" s="50"/>
      <c r="AAD70" s="50"/>
      <c r="AAE70" s="50"/>
      <c r="AAF70" s="50"/>
      <c r="AAG70" s="50"/>
      <c r="AAH70" s="50"/>
      <c r="AAI70" s="50"/>
      <c r="AAJ70" s="50"/>
      <c r="AAK70" s="50"/>
      <c r="AAL70" s="50"/>
      <c r="AAM70" s="50"/>
      <c r="AAN70" s="50"/>
      <c r="AAO70" s="50"/>
      <c r="AAP70" s="50"/>
      <c r="AAQ70" s="50"/>
      <c r="AAR70" s="50"/>
      <c r="AAS70" s="50"/>
      <c r="AAT70" s="50"/>
      <c r="AAU70" s="50"/>
      <c r="AAV70" s="50"/>
      <c r="AAW70" s="50"/>
      <c r="AAX70" s="50"/>
      <c r="AAY70" s="50"/>
      <c r="AAZ70" s="50"/>
      <c r="ABA70" s="50"/>
      <c r="ABB70" s="50"/>
      <c r="ABC70" s="50"/>
      <c r="ABD70" s="50"/>
      <c r="ABE70" s="50"/>
      <c r="ABF70" s="50"/>
      <c r="ABG70" s="50"/>
      <c r="ABH70" s="50"/>
      <c r="ABI70" s="50"/>
      <c r="ABJ70" s="50"/>
      <c r="ABK70" s="50"/>
      <c r="ABL70" s="50"/>
      <c r="ABM70" s="50"/>
      <c r="ABN70" s="50"/>
      <c r="ABO70" s="50"/>
      <c r="ABP70" s="50"/>
      <c r="ABQ70" s="50"/>
      <c r="ABR70" s="50"/>
      <c r="ABS70" s="50"/>
      <c r="ABT70" s="50"/>
      <c r="ABU70" s="50"/>
      <c r="ABV70" s="50"/>
      <c r="ABW70" s="50"/>
      <c r="ABX70" s="50"/>
      <c r="ABY70" s="50"/>
      <c r="ABZ70" s="50"/>
      <c r="ACA70" s="50"/>
      <c r="ACB70" s="50"/>
      <c r="ACC70" s="50"/>
      <c r="ACD70" s="50"/>
      <c r="ACE70" s="50"/>
      <c r="ACF70" s="50"/>
      <c r="ACG70" s="50"/>
      <c r="ACH70" s="50"/>
      <c r="ACI70" s="50"/>
      <c r="ACJ70" s="50"/>
      <c r="ACK70" s="50"/>
      <c r="ACL70" s="50"/>
      <c r="ACM70" s="50"/>
      <c r="ACN70" s="50"/>
      <c r="ACO70" s="50"/>
      <c r="ACP70" s="50"/>
      <c r="ACQ70" s="50"/>
      <c r="ACR70" s="50"/>
      <c r="ACS70" s="50"/>
      <c r="ACT70" s="50"/>
      <c r="ACU70" s="50"/>
      <c r="ACV70" s="50"/>
      <c r="ACW70" s="50"/>
      <c r="ACX70" s="50"/>
      <c r="ACY70" s="50"/>
      <c r="ACZ70" s="50"/>
      <c r="ADA70" s="50"/>
      <c r="ADB70" s="50"/>
      <c r="ADC70" s="50"/>
      <c r="ADD70" s="50"/>
      <c r="ADE70" s="50"/>
      <c r="ADF70" s="50"/>
      <c r="ADG70" s="50"/>
      <c r="ADH70" s="50"/>
      <c r="ADI70" s="50"/>
      <c r="ADJ70" s="50"/>
      <c r="ADK70" s="50"/>
      <c r="ADL70" s="50"/>
      <c r="ADM70" s="50"/>
      <c r="ADN70" s="50"/>
      <c r="ADO70" s="50"/>
      <c r="ADP70" s="50"/>
      <c r="ADQ70" s="50"/>
      <c r="ADR70" s="50"/>
      <c r="ADS70" s="50"/>
      <c r="ADT70" s="50"/>
      <c r="ADU70" s="50"/>
      <c r="ADV70" s="50"/>
      <c r="ADW70" s="50"/>
      <c r="ADX70" s="50"/>
      <c r="ADY70" s="50"/>
      <c r="ADZ70" s="50"/>
      <c r="AEA70" s="50"/>
      <c r="AEB70" s="50"/>
      <c r="AEC70" s="50"/>
      <c r="AED70" s="50"/>
      <c r="AEE70" s="50"/>
      <c r="AEF70" s="50"/>
      <c r="AEG70" s="50"/>
      <c r="AEH70" s="50"/>
      <c r="AEI70" s="50"/>
      <c r="AEJ70" s="50"/>
      <c r="AEK70" s="50"/>
      <c r="AEL70" s="50"/>
      <c r="AEM70" s="50"/>
      <c r="AEN70" s="50"/>
      <c r="AEO70" s="50"/>
      <c r="AEP70" s="50"/>
      <c r="AEQ70" s="50"/>
      <c r="AER70" s="50"/>
    </row>
    <row r="71" spans="1:824" s="51" customFormat="1" ht="54.95" customHeight="1" x14ac:dyDescent="0.3">
      <c r="A71" s="44">
        <v>41</v>
      </c>
      <c r="B71" s="47" t="s">
        <v>205</v>
      </c>
      <c r="C71" s="44">
        <v>3252007930</v>
      </c>
      <c r="D71" s="40" t="s">
        <v>95</v>
      </c>
      <c r="E71" s="35" t="s">
        <v>206</v>
      </c>
      <c r="F71" s="44" t="s">
        <v>75</v>
      </c>
      <c r="G71" s="35" t="s">
        <v>188</v>
      </c>
      <c r="H71" s="38">
        <v>17</v>
      </c>
      <c r="I71" s="39">
        <v>18</v>
      </c>
      <c r="J71" s="39">
        <f>5458483.48/1000</f>
        <v>5458.4834800000008</v>
      </c>
      <c r="K71" s="39">
        <v>5550.9</v>
      </c>
      <c r="L71" s="39">
        <v>4877.1000000000004</v>
      </c>
      <c r="M71" s="38">
        <v>5750</v>
      </c>
      <c r="N71" s="38">
        <f>229600/1000</f>
        <v>229.6</v>
      </c>
      <c r="O71" s="38">
        <v>350</v>
      </c>
      <c r="P71" s="38">
        <v>135.80000000000001</v>
      </c>
      <c r="Q71" s="38">
        <v>350</v>
      </c>
      <c r="R71" s="38">
        <v>1132</v>
      </c>
      <c r="S71" s="38">
        <f>7063/10000</f>
        <v>0.70630000000000004</v>
      </c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  <c r="VQ71" s="50"/>
      <c r="VR71" s="50"/>
      <c r="VS71" s="50"/>
      <c r="VT71" s="50"/>
      <c r="VU71" s="50"/>
      <c r="VV71" s="50"/>
      <c r="VW71" s="50"/>
      <c r="VX71" s="50"/>
      <c r="VY71" s="50"/>
      <c r="VZ71" s="50"/>
      <c r="WA71" s="50"/>
      <c r="WB71" s="50"/>
      <c r="WC71" s="50"/>
      <c r="WD71" s="50"/>
      <c r="WE71" s="50"/>
      <c r="WF71" s="50"/>
      <c r="WG71" s="50"/>
      <c r="WH71" s="50"/>
      <c r="WI71" s="50"/>
      <c r="WJ71" s="50"/>
      <c r="WK71" s="50"/>
      <c r="WL71" s="50"/>
      <c r="WM71" s="50"/>
      <c r="WN71" s="50"/>
      <c r="WO71" s="50"/>
      <c r="WP71" s="50"/>
      <c r="WQ71" s="50"/>
      <c r="WR71" s="50"/>
      <c r="WS71" s="50"/>
      <c r="WT71" s="50"/>
      <c r="WU71" s="50"/>
      <c r="WV71" s="50"/>
      <c r="WW71" s="50"/>
      <c r="WX71" s="50"/>
      <c r="WY71" s="50"/>
      <c r="WZ71" s="50"/>
      <c r="XA71" s="50"/>
      <c r="XB71" s="50"/>
      <c r="XC71" s="50"/>
      <c r="XD71" s="50"/>
      <c r="XE71" s="50"/>
      <c r="XF71" s="50"/>
      <c r="XG71" s="50"/>
      <c r="XH71" s="50"/>
      <c r="XI71" s="50"/>
      <c r="XJ71" s="50"/>
      <c r="XK71" s="50"/>
      <c r="XL71" s="50"/>
      <c r="XM71" s="50"/>
      <c r="XN71" s="50"/>
      <c r="XO71" s="50"/>
      <c r="XP71" s="50"/>
      <c r="XQ71" s="50"/>
      <c r="XR71" s="50"/>
      <c r="XS71" s="50"/>
      <c r="XT71" s="50"/>
      <c r="XU71" s="50"/>
      <c r="XV71" s="50"/>
      <c r="XW71" s="50"/>
      <c r="XX71" s="50"/>
      <c r="XY71" s="50"/>
      <c r="XZ71" s="50"/>
      <c r="YA71" s="50"/>
      <c r="YB71" s="50"/>
      <c r="YC71" s="50"/>
      <c r="YD71" s="50"/>
      <c r="YE71" s="50"/>
      <c r="YF71" s="50"/>
      <c r="YG71" s="50"/>
      <c r="YH71" s="50"/>
      <c r="YI71" s="50"/>
      <c r="YJ71" s="50"/>
      <c r="YK71" s="50"/>
      <c r="YL71" s="50"/>
      <c r="YM71" s="50"/>
      <c r="YN71" s="50"/>
      <c r="YO71" s="50"/>
      <c r="YP71" s="50"/>
      <c r="YQ71" s="50"/>
      <c r="YR71" s="50"/>
      <c r="YS71" s="50"/>
      <c r="YT71" s="50"/>
      <c r="YU71" s="50"/>
      <c r="YV71" s="50"/>
      <c r="YW71" s="50"/>
      <c r="YX71" s="50"/>
      <c r="YY71" s="50"/>
      <c r="YZ71" s="50"/>
      <c r="ZA71" s="50"/>
      <c r="ZB71" s="50"/>
      <c r="ZC71" s="50"/>
      <c r="ZD71" s="50"/>
      <c r="ZE71" s="50"/>
      <c r="ZF71" s="50"/>
      <c r="ZG71" s="50"/>
      <c r="ZH71" s="50"/>
      <c r="ZI71" s="50"/>
      <c r="ZJ71" s="50"/>
      <c r="ZK71" s="50"/>
      <c r="ZL71" s="50"/>
      <c r="ZM71" s="50"/>
      <c r="ZN71" s="50"/>
      <c r="ZO71" s="50"/>
      <c r="ZP71" s="50"/>
      <c r="ZQ71" s="50"/>
      <c r="ZR71" s="50"/>
      <c r="ZS71" s="50"/>
      <c r="ZT71" s="50"/>
      <c r="ZU71" s="50"/>
      <c r="ZV71" s="50"/>
      <c r="ZW71" s="50"/>
      <c r="ZX71" s="50"/>
      <c r="ZY71" s="50"/>
      <c r="ZZ71" s="50"/>
      <c r="AAA71" s="50"/>
      <c r="AAB71" s="50"/>
      <c r="AAC71" s="50"/>
      <c r="AAD71" s="50"/>
      <c r="AAE71" s="50"/>
      <c r="AAF71" s="50"/>
      <c r="AAG71" s="50"/>
      <c r="AAH71" s="50"/>
      <c r="AAI71" s="50"/>
      <c r="AAJ71" s="50"/>
      <c r="AAK71" s="50"/>
      <c r="AAL71" s="50"/>
      <c r="AAM71" s="50"/>
      <c r="AAN71" s="50"/>
      <c r="AAO71" s="50"/>
      <c r="AAP71" s="50"/>
      <c r="AAQ71" s="50"/>
      <c r="AAR71" s="50"/>
      <c r="AAS71" s="50"/>
      <c r="AAT71" s="50"/>
      <c r="AAU71" s="50"/>
      <c r="AAV71" s="50"/>
      <c r="AAW71" s="50"/>
      <c r="AAX71" s="50"/>
      <c r="AAY71" s="50"/>
      <c r="AAZ71" s="50"/>
      <c r="ABA71" s="50"/>
      <c r="ABB71" s="50"/>
      <c r="ABC71" s="50"/>
      <c r="ABD71" s="50"/>
      <c r="ABE71" s="50"/>
      <c r="ABF71" s="50"/>
      <c r="ABG71" s="50"/>
      <c r="ABH71" s="50"/>
      <c r="ABI71" s="50"/>
      <c r="ABJ71" s="50"/>
      <c r="ABK71" s="50"/>
      <c r="ABL71" s="50"/>
      <c r="ABM71" s="50"/>
      <c r="ABN71" s="50"/>
      <c r="ABO71" s="50"/>
      <c r="ABP71" s="50"/>
      <c r="ABQ71" s="50"/>
      <c r="ABR71" s="50"/>
      <c r="ABS71" s="50"/>
      <c r="ABT71" s="50"/>
      <c r="ABU71" s="50"/>
      <c r="ABV71" s="50"/>
      <c r="ABW71" s="50"/>
      <c r="ABX71" s="50"/>
      <c r="ABY71" s="50"/>
      <c r="ABZ71" s="50"/>
      <c r="ACA71" s="50"/>
      <c r="ACB71" s="50"/>
      <c r="ACC71" s="50"/>
      <c r="ACD71" s="50"/>
      <c r="ACE71" s="50"/>
      <c r="ACF71" s="50"/>
      <c r="ACG71" s="50"/>
      <c r="ACH71" s="50"/>
      <c r="ACI71" s="50"/>
      <c r="ACJ71" s="50"/>
      <c r="ACK71" s="50"/>
      <c r="ACL71" s="50"/>
      <c r="ACM71" s="50"/>
      <c r="ACN71" s="50"/>
      <c r="ACO71" s="50"/>
      <c r="ACP71" s="50"/>
      <c r="ACQ71" s="50"/>
      <c r="ACR71" s="50"/>
      <c r="ACS71" s="50"/>
      <c r="ACT71" s="50"/>
      <c r="ACU71" s="50"/>
      <c r="ACV71" s="50"/>
      <c r="ACW71" s="50"/>
      <c r="ACX71" s="50"/>
      <c r="ACY71" s="50"/>
      <c r="ACZ71" s="50"/>
      <c r="ADA71" s="50"/>
      <c r="ADB71" s="50"/>
      <c r="ADC71" s="50"/>
      <c r="ADD71" s="50"/>
      <c r="ADE71" s="50"/>
      <c r="ADF71" s="50"/>
      <c r="ADG71" s="50"/>
      <c r="ADH71" s="50"/>
      <c r="ADI71" s="50"/>
      <c r="ADJ71" s="50"/>
      <c r="ADK71" s="50"/>
      <c r="ADL71" s="50"/>
      <c r="ADM71" s="50"/>
      <c r="ADN71" s="50"/>
      <c r="ADO71" s="50"/>
      <c r="ADP71" s="50"/>
      <c r="ADQ71" s="50"/>
      <c r="ADR71" s="50"/>
      <c r="ADS71" s="50"/>
      <c r="ADT71" s="50"/>
      <c r="ADU71" s="50"/>
      <c r="ADV71" s="50"/>
      <c r="ADW71" s="50"/>
      <c r="ADX71" s="50"/>
      <c r="ADY71" s="50"/>
      <c r="ADZ71" s="50"/>
      <c r="AEA71" s="50"/>
      <c r="AEB71" s="50"/>
      <c r="AEC71" s="50"/>
      <c r="AED71" s="50"/>
      <c r="AEE71" s="50"/>
      <c r="AEF71" s="50"/>
      <c r="AEG71" s="50"/>
      <c r="AEH71" s="50"/>
      <c r="AEI71" s="50"/>
      <c r="AEJ71" s="50"/>
      <c r="AEK71" s="50"/>
      <c r="AEL71" s="50"/>
      <c r="AEM71" s="50"/>
      <c r="AEN71" s="50"/>
      <c r="AEO71" s="50"/>
      <c r="AEP71" s="50"/>
      <c r="AEQ71" s="50"/>
      <c r="AER71" s="50"/>
    </row>
    <row r="72" spans="1:824" s="51" customFormat="1" ht="54.95" customHeight="1" x14ac:dyDescent="0.3">
      <c r="A72" s="44">
        <v>42</v>
      </c>
      <c r="B72" s="47" t="s">
        <v>207</v>
      </c>
      <c r="C72" s="44">
        <v>3223004685</v>
      </c>
      <c r="D72" s="40" t="s">
        <v>95</v>
      </c>
      <c r="E72" s="35" t="s">
        <v>208</v>
      </c>
      <c r="F72" s="44" t="s">
        <v>75</v>
      </c>
      <c r="G72" s="35" t="s">
        <v>188</v>
      </c>
      <c r="H72" s="38">
        <v>16.05</v>
      </c>
      <c r="I72" s="39">
        <v>17</v>
      </c>
      <c r="J72" s="39">
        <f>4993724.06/1000</f>
        <v>4993.7240599999996</v>
      </c>
      <c r="K72" s="39">
        <v>5095.3999999999996</v>
      </c>
      <c r="L72" s="39">
        <v>4319.7</v>
      </c>
      <c r="M72" s="38">
        <v>5200</v>
      </c>
      <c r="N72" s="38">
        <f>334300/1000</f>
        <v>334.3</v>
      </c>
      <c r="O72" s="38">
        <v>370</v>
      </c>
      <c r="P72" s="38">
        <v>207.3</v>
      </c>
      <c r="Q72" s="38">
        <v>370</v>
      </c>
      <c r="R72" s="38">
        <v>134.4</v>
      </c>
      <c r="S72" s="38">
        <f>1118/10000</f>
        <v>0.1118</v>
      </c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  <c r="NW72" s="50"/>
      <c r="NX72" s="50"/>
      <c r="NY72" s="50"/>
      <c r="NZ72" s="50"/>
      <c r="OA72" s="50"/>
      <c r="OB72" s="50"/>
      <c r="OC72" s="50"/>
      <c r="OD72" s="50"/>
      <c r="OE72" s="50"/>
      <c r="OF72" s="50"/>
      <c r="OG72" s="50"/>
      <c r="OH72" s="50"/>
      <c r="OI72" s="50"/>
      <c r="OJ72" s="50"/>
      <c r="OK72" s="50"/>
      <c r="OL72" s="50"/>
      <c r="OM72" s="50"/>
      <c r="ON72" s="50"/>
      <c r="OO72" s="50"/>
      <c r="OP72" s="50"/>
      <c r="OQ72" s="50"/>
      <c r="OR72" s="50"/>
      <c r="OS72" s="50"/>
      <c r="OT72" s="50"/>
      <c r="OU72" s="50"/>
      <c r="OV72" s="50"/>
      <c r="OW72" s="50"/>
      <c r="OX72" s="50"/>
      <c r="OY72" s="50"/>
      <c r="OZ72" s="50"/>
      <c r="PA72" s="50"/>
      <c r="PB72" s="50"/>
      <c r="PC72" s="50"/>
      <c r="PD72" s="50"/>
      <c r="PE72" s="50"/>
      <c r="PF72" s="50"/>
      <c r="PG72" s="50"/>
      <c r="PH72" s="50"/>
      <c r="PI72" s="50"/>
      <c r="PJ72" s="50"/>
      <c r="PK72" s="50"/>
      <c r="PL72" s="50"/>
      <c r="PM72" s="50"/>
      <c r="PN72" s="50"/>
      <c r="PO72" s="50"/>
      <c r="PP72" s="50"/>
      <c r="PQ72" s="50"/>
      <c r="PR72" s="50"/>
      <c r="PS72" s="50"/>
      <c r="PT72" s="50"/>
      <c r="PU72" s="50"/>
      <c r="PV72" s="50"/>
      <c r="PW72" s="50"/>
      <c r="PX72" s="50"/>
      <c r="PY72" s="50"/>
      <c r="PZ72" s="50"/>
      <c r="QA72" s="50"/>
      <c r="QB72" s="50"/>
      <c r="QC72" s="50"/>
      <c r="QD72" s="50"/>
      <c r="QE72" s="50"/>
      <c r="QF72" s="50"/>
      <c r="QG72" s="50"/>
      <c r="QH72" s="50"/>
      <c r="QI72" s="50"/>
      <c r="QJ72" s="50"/>
      <c r="QK72" s="50"/>
      <c r="QL72" s="50"/>
      <c r="QM72" s="50"/>
      <c r="QN72" s="50"/>
      <c r="QO72" s="50"/>
      <c r="QP72" s="50"/>
      <c r="QQ72" s="50"/>
      <c r="QR72" s="50"/>
      <c r="QS72" s="50"/>
      <c r="QT72" s="50"/>
      <c r="QU72" s="50"/>
      <c r="QV72" s="50"/>
      <c r="QW72" s="50"/>
      <c r="QX72" s="50"/>
      <c r="QY72" s="50"/>
      <c r="QZ72" s="50"/>
      <c r="RA72" s="50"/>
      <c r="RB72" s="50"/>
      <c r="RC72" s="50"/>
      <c r="RD72" s="50"/>
      <c r="RE72" s="50"/>
      <c r="RF72" s="50"/>
      <c r="RG72" s="50"/>
      <c r="RH72" s="50"/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0"/>
      <c r="RT72" s="50"/>
      <c r="RU72" s="50"/>
      <c r="RV72" s="50"/>
      <c r="RW72" s="50"/>
      <c r="RX72" s="50"/>
      <c r="RY72" s="50"/>
      <c r="RZ72" s="50"/>
      <c r="SA72" s="50"/>
      <c r="SB72" s="50"/>
      <c r="SC72" s="50"/>
      <c r="SD72" s="50"/>
      <c r="SE72" s="50"/>
      <c r="SF72" s="50"/>
      <c r="SG72" s="50"/>
      <c r="SH72" s="50"/>
      <c r="SI72" s="50"/>
      <c r="SJ72" s="50"/>
      <c r="SK72" s="50"/>
      <c r="SL72" s="50"/>
      <c r="SM72" s="50"/>
      <c r="SN72" s="50"/>
      <c r="SO72" s="50"/>
      <c r="SP72" s="50"/>
      <c r="SQ72" s="50"/>
      <c r="SR72" s="50"/>
      <c r="SS72" s="50"/>
      <c r="ST72" s="50"/>
      <c r="SU72" s="50"/>
      <c r="SV72" s="50"/>
      <c r="SW72" s="50"/>
      <c r="SX72" s="50"/>
      <c r="SY72" s="50"/>
      <c r="SZ72" s="50"/>
      <c r="TA72" s="50"/>
      <c r="TB72" s="50"/>
      <c r="TC72" s="50"/>
      <c r="TD72" s="50"/>
      <c r="TE72" s="50"/>
      <c r="TF72" s="50"/>
      <c r="TG72" s="50"/>
      <c r="TH72" s="50"/>
      <c r="TI72" s="50"/>
      <c r="TJ72" s="50"/>
      <c r="TK72" s="50"/>
      <c r="TL72" s="50"/>
      <c r="TM72" s="50"/>
      <c r="TN72" s="50"/>
      <c r="TO72" s="50"/>
      <c r="TP72" s="50"/>
      <c r="TQ72" s="50"/>
      <c r="TR72" s="50"/>
      <c r="TS72" s="50"/>
      <c r="TT72" s="50"/>
      <c r="TU72" s="50"/>
      <c r="TV72" s="50"/>
      <c r="TW72" s="50"/>
      <c r="TX72" s="50"/>
      <c r="TY72" s="50"/>
      <c r="TZ72" s="50"/>
      <c r="UA72" s="50"/>
      <c r="UB72" s="50"/>
      <c r="UC72" s="50"/>
      <c r="UD72" s="50"/>
      <c r="UE72" s="50"/>
      <c r="UF72" s="50"/>
      <c r="UG72" s="50"/>
      <c r="UH72" s="50"/>
      <c r="UI72" s="50"/>
      <c r="UJ72" s="50"/>
      <c r="UK72" s="50"/>
      <c r="UL72" s="50"/>
      <c r="UM72" s="50"/>
      <c r="UN72" s="50"/>
      <c r="UO72" s="50"/>
      <c r="UP72" s="50"/>
      <c r="UQ72" s="50"/>
      <c r="UR72" s="50"/>
      <c r="US72" s="50"/>
      <c r="UT72" s="50"/>
      <c r="UU72" s="50"/>
      <c r="UV72" s="50"/>
      <c r="UW72" s="50"/>
      <c r="UX72" s="50"/>
      <c r="UY72" s="50"/>
      <c r="UZ72" s="50"/>
      <c r="VA72" s="50"/>
      <c r="VB72" s="50"/>
      <c r="VC72" s="50"/>
      <c r="VD72" s="50"/>
      <c r="VE72" s="50"/>
      <c r="VF72" s="50"/>
      <c r="VG72" s="50"/>
      <c r="VH72" s="50"/>
      <c r="VI72" s="50"/>
      <c r="VJ72" s="50"/>
      <c r="VK72" s="50"/>
      <c r="VL72" s="50"/>
      <c r="VM72" s="50"/>
      <c r="VN72" s="50"/>
      <c r="VO72" s="50"/>
      <c r="VP72" s="50"/>
      <c r="VQ72" s="50"/>
      <c r="VR72" s="50"/>
      <c r="VS72" s="50"/>
      <c r="VT72" s="50"/>
      <c r="VU72" s="50"/>
      <c r="VV72" s="50"/>
      <c r="VW72" s="50"/>
      <c r="VX72" s="50"/>
      <c r="VY72" s="50"/>
      <c r="VZ72" s="50"/>
      <c r="WA72" s="50"/>
      <c r="WB72" s="50"/>
      <c r="WC72" s="50"/>
      <c r="WD72" s="50"/>
      <c r="WE72" s="50"/>
      <c r="WF72" s="50"/>
      <c r="WG72" s="50"/>
      <c r="WH72" s="50"/>
      <c r="WI72" s="50"/>
      <c r="WJ72" s="50"/>
      <c r="WK72" s="50"/>
      <c r="WL72" s="50"/>
      <c r="WM72" s="50"/>
      <c r="WN72" s="50"/>
      <c r="WO72" s="50"/>
      <c r="WP72" s="50"/>
      <c r="WQ72" s="50"/>
      <c r="WR72" s="50"/>
      <c r="WS72" s="50"/>
      <c r="WT72" s="50"/>
      <c r="WU72" s="50"/>
      <c r="WV72" s="50"/>
      <c r="WW72" s="50"/>
      <c r="WX72" s="50"/>
      <c r="WY72" s="50"/>
      <c r="WZ72" s="50"/>
      <c r="XA72" s="50"/>
      <c r="XB72" s="50"/>
      <c r="XC72" s="50"/>
      <c r="XD72" s="50"/>
      <c r="XE72" s="50"/>
      <c r="XF72" s="50"/>
      <c r="XG72" s="50"/>
      <c r="XH72" s="50"/>
      <c r="XI72" s="50"/>
      <c r="XJ72" s="50"/>
      <c r="XK72" s="50"/>
      <c r="XL72" s="50"/>
      <c r="XM72" s="50"/>
      <c r="XN72" s="50"/>
      <c r="XO72" s="50"/>
      <c r="XP72" s="50"/>
      <c r="XQ72" s="50"/>
      <c r="XR72" s="50"/>
      <c r="XS72" s="50"/>
      <c r="XT72" s="50"/>
      <c r="XU72" s="50"/>
      <c r="XV72" s="50"/>
      <c r="XW72" s="50"/>
      <c r="XX72" s="50"/>
      <c r="XY72" s="50"/>
      <c r="XZ72" s="50"/>
      <c r="YA72" s="50"/>
      <c r="YB72" s="50"/>
      <c r="YC72" s="50"/>
      <c r="YD72" s="50"/>
      <c r="YE72" s="50"/>
      <c r="YF72" s="50"/>
      <c r="YG72" s="50"/>
      <c r="YH72" s="50"/>
      <c r="YI72" s="50"/>
      <c r="YJ72" s="50"/>
      <c r="YK72" s="50"/>
      <c r="YL72" s="50"/>
      <c r="YM72" s="50"/>
      <c r="YN72" s="50"/>
      <c r="YO72" s="50"/>
      <c r="YP72" s="50"/>
      <c r="YQ72" s="50"/>
      <c r="YR72" s="50"/>
      <c r="YS72" s="50"/>
      <c r="YT72" s="50"/>
      <c r="YU72" s="50"/>
      <c r="YV72" s="50"/>
      <c r="YW72" s="50"/>
      <c r="YX72" s="50"/>
      <c r="YY72" s="50"/>
      <c r="YZ72" s="50"/>
      <c r="ZA72" s="50"/>
      <c r="ZB72" s="50"/>
      <c r="ZC72" s="50"/>
      <c r="ZD72" s="50"/>
      <c r="ZE72" s="50"/>
      <c r="ZF72" s="50"/>
      <c r="ZG72" s="50"/>
      <c r="ZH72" s="50"/>
      <c r="ZI72" s="50"/>
      <c r="ZJ72" s="50"/>
      <c r="ZK72" s="50"/>
      <c r="ZL72" s="50"/>
      <c r="ZM72" s="50"/>
      <c r="ZN72" s="50"/>
      <c r="ZO72" s="50"/>
      <c r="ZP72" s="50"/>
      <c r="ZQ72" s="50"/>
      <c r="ZR72" s="50"/>
      <c r="ZS72" s="50"/>
      <c r="ZT72" s="50"/>
      <c r="ZU72" s="50"/>
      <c r="ZV72" s="50"/>
      <c r="ZW72" s="50"/>
      <c r="ZX72" s="50"/>
      <c r="ZY72" s="50"/>
      <c r="ZZ72" s="50"/>
      <c r="AAA72" s="50"/>
      <c r="AAB72" s="50"/>
      <c r="AAC72" s="50"/>
      <c r="AAD72" s="50"/>
      <c r="AAE72" s="50"/>
      <c r="AAF72" s="50"/>
      <c r="AAG72" s="50"/>
      <c r="AAH72" s="50"/>
      <c r="AAI72" s="50"/>
      <c r="AAJ72" s="50"/>
      <c r="AAK72" s="50"/>
      <c r="AAL72" s="50"/>
      <c r="AAM72" s="50"/>
      <c r="AAN72" s="50"/>
      <c r="AAO72" s="50"/>
      <c r="AAP72" s="50"/>
      <c r="AAQ72" s="50"/>
      <c r="AAR72" s="50"/>
      <c r="AAS72" s="50"/>
      <c r="AAT72" s="50"/>
      <c r="AAU72" s="50"/>
      <c r="AAV72" s="50"/>
      <c r="AAW72" s="50"/>
      <c r="AAX72" s="50"/>
      <c r="AAY72" s="50"/>
      <c r="AAZ72" s="50"/>
      <c r="ABA72" s="50"/>
      <c r="ABB72" s="50"/>
      <c r="ABC72" s="50"/>
      <c r="ABD72" s="50"/>
      <c r="ABE72" s="50"/>
      <c r="ABF72" s="50"/>
      <c r="ABG72" s="50"/>
      <c r="ABH72" s="50"/>
      <c r="ABI72" s="50"/>
      <c r="ABJ72" s="50"/>
      <c r="ABK72" s="50"/>
      <c r="ABL72" s="50"/>
      <c r="ABM72" s="50"/>
      <c r="ABN72" s="50"/>
      <c r="ABO72" s="50"/>
      <c r="ABP72" s="50"/>
      <c r="ABQ72" s="50"/>
      <c r="ABR72" s="50"/>
      <c r="ABS72" s="50"/>
      <c r="ABT72" s="50"/>
      <c r="ABU72" s="50"/>
      <c r="ABV72" s="50"/>
      <c r="ABW72" s="50"/>
      <c r="ABX72" s="50"/>
      <c r="ABY72" s="50"/>
      <c r="ABZ72" s="50"/>
      <c r="ACA72" s="50"/>
      <c r="ACB72" s="50"/>
      <c r="ACC72" s="50"/>
      <c r="ACD72" s="50"/>
      <c r="ACE72" s="50"/>
      <c r="ACF72" s="50"/>
      <c r="ACG72" s="50"/>
      <c r="ACH72" s="50"/>
      <c r="ACI72" s="50"/>
      <c r="ACJ72" s="50"/>
      <c r="ACK72" s="50"/>
      <c r="ACL72" s="50"/>
      <c r="ACM72" s="50"/>
      <c r="ACN72" s="50"/>
      <c r="ACO72" s="50"/>
      <c r="ACP72" s="50"/>
      <c r="ACQ72" s="50"/>
      <c r="ACR72" s="50"/>
      <c r="ACS72" s="50"/>
      <c r="ACT72" s="50"/>
      <c r="ACU72" s="50"/>
      <c r="ACV72" s="50"/>
      <c r="ACW72" s="50"/>
      <c r="ACX72" s="50"/>
      <c r="ACY72" s="50"/>
      <c r="ACZ72" s="50"/>
      <c r="ADA72" s="50"/>
      <c r="ADB72" s="50"/>
      <c r="ADC72" s="50"/>
      <c r="ADD72" s="50"/>
      <c r="ADE72" s="50"/>
      <c r="ADF72" s="50"/>
      <c r="ADG72" s="50"/>
      <c r="ADH72" s="50"/>
      <c r="ADI72" s="50"/>
      <c r="ADJ72" s="50"/>
      <c r="ADK72" s="50"/>
      <c r="ADL72" s="50"/>
      <c r="ADM72" s="50"/>
      <c r="ADN72" s="50"/>
      <c r="ADO72" s="50"/>
      <c r="ADP72" s="50"/>
      <c r="ADQ72" s="50"/>
      <c r="ADR72" s="50"/>
      <c r="ADS72" s="50"/>
      <c r="ADT72" s="50"/>
      <c r="ADU72" s="50"/>
      <c r="ADV72" s="50"/>
      <c r="ADW72" s="50"/>
      <c r="ADX72" s="50"/>
      <c r="ADY72" s="50"/>
      <c r="ADZ72" s="50"/>
      <c r="AEA72" s="50"/>
      <c r="AEB72" s="50"/>
      <c r="AEC72" s="50"/>
      <c r="AED72" s="50"/>
      <c r="AEE72" s="50"/>
      <c r="AEF72" s="50"/>
      <c r="AEG72" s="50"/>
      <c r="AEH72" s="50"/>
      <c r="AEI72" s="50"/>
      <c r="AEJ72" s="50"/>
      <c r="AEK72" s="50"/>
      <c r="AEL72" s="50"/>
      <c r="AEM72" s="50"/>
      <c r="AEN72" s="50"/>
      <c r="AEO72" s="50"/>
      <c r="AEP72" s="50"/>
      <c r="AEQ72" s="50"/>
      <c r="AER72" s="50"/>
    </row>
    <row r="73" spans="1:824" s="51" customFormat="1" ht="54.95" customHeight="1" x14ac:dyDescent="0.3">
      <c r="A73" s="44">
        <v>43</v>
      </c>
      <c r="B73" s="62" t="s">
        <v>209</v>
      </c>
      <c r="C73" s="44">
        <v>3223005061</v>
      </c>
      <c r="D73" s="40" t="s">
        <v>95</v>
      </c>
      <c r="E73" s="35" t="s">
        <v>210</v>
      </c>
      <c r="F73" s="44" t="s">
        <v>75</v>
      </c>
      <c r="G73" s="35" t="s">
        <v>188</v>
      </c>
      <c r="H73" s="38">
        <v>31.65</v>
      </c>
      <c r="I73" s="39">
        <v>32</v>
      </c>
      <c r="J73" s="39">
        <f>10359628.06/1000</f>
        <v>10359.628060000001</v>
      </c>
      <c r="K73" s="39">
        <v>10607.1</v>
      </c>
      <c r="L73" s="39">
        <v>9200</v>
      </c>
      <c r="M73" s="38">
        <v>10907</v>
      </c>
      <c r="N73" s="38">
        <f>593213.6/1000</f>
        <v>593.21359999999993</v>
      </c>
      <c r="O73" s="38">
        <v>800.7</v>
      </c>
      <c r="P73" s="38">
        <v>394.9</v>
      </c>
      <c r="Q73" s="38">
        <v>800.7</v>
      </c>
      <c r="R73" s="38">
        <v>1030.8</v>
      </c>
      <c r="S73" s="38">
        <f>8244/10000</f>
        <v>0.82440000000000002</v>
      </c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50"/>
      <c r="SD73" s="50"/>
      <c r="SE73" s="50"/>
      <c r="SF73" s="50"/>
      <c r="SG73" s="50"/>
      <c r="SH73" s="50"/>
      <c r="SI73" s="50"/>
      <c r="SJ73" s="50"/>
      <c r="SK73" s="50"/>
      <c r="SL73" s="50"/>
      <c r="SM73" s="50"/>
      <c r="SN73" s="50"/>
      <c r="SO73" s="50"/>
      <c r="SP73" s="50"/>
      <c r="SQ73" s="50"/>
      <c r="SR73" s="50"/>
      <c r="SS73" s="50"/>
      <c r="ST73" s="50"/>
      <c r="SU73" s="50"/>
      <c r="SV73" s="50"/>
      <c r="SW73" s="50"/>
      <c r="SX73" s="50"/>
      <c r="SY73" s="50"/>
      <c r="SZ73" s="50"/>
      <c r="TA73" s="50"/>
      <c r="TB73" s="50"/>
      <c r="TC73" s="50"/>
      <c r="TD73" s="50"/>
      <c r="TE73" s="50"/>
      <c r="TF73" s="50"/>
      <c r="TG73" s="50"/>
      <c r="TH73" s="50"/>
      <c r="TI73" s="50"/>
      <c r="TJ73" s="50"/>
      <c r="TK73" s="50"/>
      <c r="TL73" s="50"/>
      <c r="TM73" s="50"/>
      <c r="TN73" s="50"/>
      <c r="TO73" s="50"/>
      <c r="TP73" s="50"/>
      <c r="TQ73" s="50"/>
      <c r="TR73" s="50"/>
      <c r="TS73" s="50"/>
      <c r="TT73" s="50"/>
      <c r="TU73" s="50"/>
      <c r="TV73" s="50"/>
      <c r="TW73" s="50"/>
      <c r="TX73" s="50"/>
      <c r="TY73" s="50"/>
      <c r="TZ73" s="50"/>
      <c r="UA73" s="50"/>
      <c r="UB73" s="50"/>
      <c r="UC73" s="50"/>
      <c r="UD73" s="50"/>
      <c r="UE73" s="50"/>
      <c r="UF73" s="50"/>
      <c r="UG73" s="50"/>
      <c r="UH73" s="50"/>
      <c r="UI73" s="50"/>
      <c r="UJ73" s="50"/>
      <c r="UK73" s="50"/>
      <c r="UL73" s="50"/>
      <c r="UM73" s="50"/>
      <c r="UN73" s="50"/>
      <c r="UO73" s="50"/>
      <c r="UP73" s="50"/>
      <c r="UQ73" s="50"/>
      <c r="UR73" s="50"/>
      <c r="US73" s="50"/>
      <c r="UT73" s="50"/>
      <c r="UU73" s="50"/>
      <c r="UV73" s="50"/>
      <c r="UW73" s="50"/>
      <c r="UX73" s="50"/>
      <c r="UY73" s="50"/>
      <c r="UZ73" s="50"/>
      <c r="VA73" s="50"/>
      <c r="VB73" s="50"/>
      <c r="VC73" s="50"/>
      <c r="VD73" s="50"/>
      <c r="VE73" s="50"/>
      <c r="VF73" s="50"/>
      <c r="VG73" s="50"/>
      <c r="VH73" s="50"/>
      <c r="VI73" s="50"/>
      <c r="VJ73" s="50"/>
      <c r="VK73" s="50"/>
      <c r="VL73" s="50"/>
      <c r="VM73" s="50"/>
      <c r="VN73" s="50"/>
      <c r="VO73" s="50"/>
      <c r="VP73" s="50"/>
      <c r="VQ73" s="50"/>
      <c r="VR73" s="50"/>
      <c r="VS73" s="50"/>
      <c r="VT73" s="50"/>
      <c r="VU73" s="50"/>
      <c r="VV73" s="50"/>
      <c r="VW73" s="50"/>
      <c r="VX73" s="50"/>
      <c r="VY73" s="50"/>
      <c r="VZ73" s="50"/>
      <c r="WA73" s="50"/>
      <c r="WB73" s="50"/>
      <c r="WC73" s="50"/>
      <c r="WD73" s="50"/>
      <c r="WE73" s="50"/>
      <c r="WF73" s="50"/>
      <c r="WG73" s="50"/>
      <c r="WH73" s="50"/>
      <c r="WI73" s="50"/>
      <c r="WJ73" s="50"/>
      <c r="WK73" s="50"/>
      <c r="WL73" s="50"/>
      <c r="WM73" s="50"/>
      <c r="WN73" s="50"/>
      <c r="WO73" s="50"/>
      <c r="WP73" s="50"/>
      <c r="WQ73" s="50"/>
      <c r="WR73" s="50"/>
      <c r="WS73" s="50"/>
      <c r="WT73" s="50"/>
      <c r="WU73" s="50"/>
      <c r="WV73" s="50"/>
      <c r="WW73" s="50"/>
      <c r="WX73" s="50"/>
      <c r="WY73" s="50"/>
      <c r="WZ73" s="50"/>
      <c r="XA73" s="50"/>
      <c r="XB73" s="50"/>
      <c r="XC73" s="50"/>
      <c r="XD73" s="50"/>
      <c r="XE73" s="50"/>
      <c r="XF73" s="50"/>
      <c r="XG73" s="50"/>
      <c r="XH73" s="50"/>
      <c r="XI73" s="50"/>
      <c r="XJ73" s="50"/>
      <c r="XK73" s="50"/>
      <c r="XL73" s="50"/>
      <c r="XM73" s="50"/>
      <c r="XN73" s="50"/>
      <c r="XO73" s="50"/>
      <c r="XP73" s="50"/>
      <c r="XQ73" s="50"/>
      <c r="XR73" s="50"/>
      <c r="XS73" s="50"/>
      <c r="XT73" s="50"/>
      <c r="XU73" s="50"/>
      <c r="XV73" s="50"/>
      <c r="XW73" s="50"/>
      <c r="XX73" s="50"/>
      <c r="XY73" s="50"/>
      <c r="XZ73" s="50"/>
      <c r="YA73" s="50"/>
      <c r="YB73" s="50"/>
      <c r="YC73" s="50"/>
      <c r="YD73" s="50"/>
      <c r="YE73" s="50"/>
      <c r="YF73" s="50"/>
      <c r="YG73" s="50"/>
      <c r="YH73" s="50"/>
      <c r="YI73" s="50"/>
      <c r="YJ73" s="50"/>
      <c r="YK73" s="50"/>
      <c r="YL73" s="50"/>
      <c r="YM73" s="50"/>
      <c r="YN73" s="50"/>
      <c r="YO73" s="50"/>
      <c r="YP73" s="50"/>
      <c r="YQ73" s="50"/>
      <c r="YR73" s="50"/>
      <c r="YS73" s="50"/>
      <c r="YT73" s="50"/>
      <c r="YU73" s="50"/>
      <c r="YV73" s="50"/>
      <c r="YW73" s="50"/>
      <c r="YX73" s="50"/>
      <c r="YY73" s="50"/>
      <c r="YZ73" s="50"/>
      <c r="ZA73" s="50"/>
      <c r="ZB73" s="50"/>
      <c r="ZC73" s="50"/>
      <c r="ZD73" s="50"/>
      <c r="ZE73" s="50"/>
      <c r="ZF73" s="50"/>
      <c r="ZG73" s="50"/>
      <c r="ZH73" s="50"/>
      <c r="ZI73" s="50"/>
      <c r="ZJ73" s="50"/>
      <c r="ZK73" s="50"/>
      <c r="ZL73" s="50"/>
      <c r="ZM73" s="50"/>
      <c r="ZN73" s="50"/>
      <c r="ZO73" s="50"/>
      <c r="ZP73" s="50"/>
      <c r="ZQ73" s="50"/>
      <c r="ZR73" s="50"/>
      <c r="ZS73" s="50"/>
      <c r="ZT73" s="50"/>
      <c r="ZU73" s="50"/>
      <c r="ZV73" s="50"/>
      <c r="ZW73" s="50"/>
      <c r="ZX73" s="50"/>
      <c r="ZY73" s="50"/>
      <c r="ZZ73" s="50"/>
      <c r="AAA73" s="50"/>
      <c r="AAB73" s="50"/>
      <c r="AAC73" s="50"/>
      <c r="AAD73" s="50"/>
      <c r="AAE73" s="50"/>
      <c r="AAF73" s="50"/>
      <c r="AAG73" s="50"/>
      <c r="AAH73" s="50"/>
      <c r="AAI73" s="50"/>
      <c r="AAJ73" s="50"/>
      <c r="AAK73" s="50"/>
      <c r="AAL73" s="50"/>
      <c r="AAM73" s="50"/>
      <c r="AAN73" s="50"/>
      <c r="AAO73" s="50"/>
      <c r="AAP73" s="50"/>
      <c r="AAQ73" s="50"/>
      <c r="AAR73" s="50"/>
      <c r="AAS73" s="50"/>
      <c r="AAT73" s="50"/>
      <c r="AAU73" s="50"/>
      <c r="AAV73" s="50"/>
      <c r="AAW73" s="50"/>
      <c r="AAX73" s="50"/>
      <c r="AAY73" s="50"/>
      <c r="AAZ73" s="50"/>
      <c r="ABA73" s="50"/>
      <c r="ABB73" s="50"/>
      <c r="ABC73" s="50"/>
      <c r="ABD73" s="50"/>
      <c r="ABE73" s="50"/>
      <c r="ABF73" s="50"/>
      <c r="ABG73" s="50"/>
      <c r="ABH73" s="50"/>
      <c r="ABI73" s="50"/>
      <c r="ABJ73" s="50"/>
      <c r="ABK73" s="50"/>
      <c r="ABL73" s="50"/>
      <c r="ABM73" s="50"/>
      <c r="ABN73" s="50"/>
      <c r="ABO73" s="50"/>
      <c r="ABP73" s="50"/>
      <c r="ABQ73" s="50"/>
      <c r="ABR73" s="50"/>
      <c r="ABS73" s="50"/>
      <c r="ABT73" s="50"/>
      <c r="ABU73" s="50"/>
      <c r="ABV73" s="50"/>
      <c r="ABW73" s="50"/>
      <c r="ABX73" s="50"/>
      <c r="ABY73" s="50"/>
      <c r="ABZ73" s="50"/>
      <c r="ACA73" s="50"/>
      <c r="ACB73" s="50"/>
      <c r="ACC73" s="50"/>
      <c r="ACD73" s="50"/>
      <c r="ACE73" s="50"/>
      <c r="ACF73" s="50"/>
      <c r="ACG73" s="50"/>
      <c r="ACH73" s="50"/>
      <c r="ACI73" s="50"/>
      <c r="ACJ73" s="50"/>
      <c r="ACK73" s="50"/>
      <c r="ACL73" s="50"/>
      <c r="ACM73" s="50"/>
      <c r="ACN73" s="50"/>
      <c r="ACO73" s="50"/>
      <c r="ACP73" s="50"/>
      <c r="ACQ73" s="50"/>
      <c r="ACR73" s="50"/>
      <c r="ACS73" s="50"/>
      <c r="ACT73" s="50"/>
      <c r="ACU73" s="50"/>
      <c r="ACV73" s="50"/>
      <c r="ACW73" s="50"/>
      <c r="ACX73" s="50"/>
      <c r="ACY73" s="50"/>
      <c r="ACZ73" s="50"/>
      <c r="ADA73" s="50"/>
      <c r="ADB73" s="50"/>
      <c r="ADC73" s="50"/>
      <c r="ADD73" s="50"/>
      <c r="ADE73" s="50"/>
      <c r="ADF73" s="50"/>
      <c r="ADG73" s="50"/>
      <c r="ADH73" s="50"/>
      <c r="ADI73" s="50"/>
      <c r="ADJ73" s="50"/>
      <c r="ADK73" s="50"/>
      <c r="ADL73" s="50"/>
      <c r="ADM73" s="50"/>
      <c r="ADN73" s="50"/>
      <c r="ADO73" s="50"/>
      <c r="ADP73" s="50"/>
      <c r="ADQ73" s="50"/>
      <c r="ADR73" s="50"/>
      <c r="ADS73" s="50"/>
      <c r="ADT73" s="50"/>
      <c r="ADU73" s="50"/>
      <c r="ADV73" s="50"/>
      <c r="ADW73" s="50"/>
      <c r="ADX73" s="50"/>
      <c r="ADY73" s="50"/>
      <c r="ADZ73" s="50"/>
      <c r="AEA73" s="50"/>
      <c r="AEB73" s="50"/>
      <c r="AEC73" s="50"/>
      <c r="AED73" s="50"/>
      <c r="AEE73" s="50"/>
      <c r="AEF73" s="50"/>
      <c r="AEG73" s="50"/>
      <c r="AEH73" s="50"/>
      <c r="AEI73" s="50"/>
      <c r="AEJ73" s="50"/>
      <c r="AEK73" s="50"/>
      <c r="AEL73" s="50"/>
      <c r="AEM73" s="50"/>
      <c r="AEN73" s="50"/>
      <c r="AEO73" s="50"/>
      <c r="AEP73" s="50"/>
      <c r="AEQ73" s="50"/>
      <c r="AER73" s="50"/>
    </row>
    <row r="74" spans="1:824" s="51" customFormat="1" ht="54.95" customHeight="1" x14ac:dyDescent="0.3">
      <c r="A74" s="44">
        <v>44</v>
      </c>
      <c r="B74" s="47" t="s">
        <v>211</v>
      </c>
      <c r="C74" s="44">
        <v>3223004766</v>
      </c>
      <c r="D74" s="40" t="s">
        <v>95</v>
      </c>
      <c r="E74" s="35" t="s">
        <v>212</v>
      </c>
      <c r="F74" s="44" t="s">
        <v>75</v>
      </c>
      <c r="G74" s="35" t="s">
        <v>188</v>
      </c>
      <c r="H74" s="38">
        <v>32.9</v>
      </c>
      <c r="I74" s="39">
        <v>33</v>
      </c>
      <c r="J74" s="39">
        <f>10933697.51/1000</f>
        <v>10933.69751</v>
      </c>
      <c r="K74" s="39">
        <v>11204</v>
      </c>
      <c r="L74" s="39">
        <v>11077.1</v>
      </c>
      <c r="M74" s="38">
        <v>11550</v>
      </c>
      <c r="N74" s="38">
        <f>648775/1000</f>
        <v>648.77499999999998</v>
      </c>
      <c r="O74" s="38">
        <v>964.9</v>
      </c>
      <c r="P74" s="38">
        <v>666.5</v>
      </c>
      <c r="Q74" s="38">
        <v>964.9</v>
      </c>
      <c r="R74" s="38">
        <v>1381.6</v>
      </c>
      <c r="S74" s="38">
        <f>5657/10000</f>
        <v>0.56569999999999998</v>
      </c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  <c r="VQ74" s="50"/>
      <c r="VR74" s="50"/>
      <c r="VS74" s="50"/>
      <c r="VT74" s="50"/>
      <c r="VU74" s="50"/>
      <c r="VV74" s="50"/>
      <c r="VW74" s="50"/>
      <c r="VX74" s="50"/>
      <c r="VY74" s="50"/>
      <c r="VZ74" s="50"/>
      <c r="WA74" s="50"/>
      <c r="WB74" s="50"/>
      <c r="WC74" s="50"/>
      <c r="WD74" s="50"/>
      <c r="WE74" s="50"/>
      <c r="WF74" s="50"/>
      <c r="WG74" s="50"/>
      <c r="WH74" s="50"/>
      <c r="WI74" s="50"/>
      <c r="WJ74" s="50"/>
      <c r="WK74" s="50"/>
      <c r="WL74" s="50"/>
      <c r="WM74" s="50"/>
      <c r="WN74" s="50"/>
      <c r="WO74" s="50"/>
      <c r="WP74" s="50"/>
      <c r="WQ74" s="50"/>
      <c r="WR74" s="50"/>
      <c r="WS74" s="50"/>
      <c r="WT74" s="50"/>
      <c r="WU74" s="50"/>
      <c r="WV74" s="50"/>
      <c r="WW74" s="50"/>
      <c r="WX74" s="50"/>
      <c r="WY74" s="50"/>
      <c r="WZ74" s="50"/>
      <c r="XA74" s="50"/>
      <c r="XB74" s="50"/>
      <c r="XC74" s="50"/>
      <c r="XD74" s="50"/>
      <c r="XE74" s="50"/>
      <c r="XF74" s="50"/>
      <c r="XG74" s="50"/>
      <c r="XH74" s="50"/>
      <c r="XI74" s="50"/>
      <c r="XJ74" s="50"/>
      <c r="XK74" s="50"/>
      <c r="XL74" s="50"/>
      <c r="XM74" s="50"/>
      <c r="XN74" s="50"/>
      <c r="XO74" s="50"/>
      <c r="XP74" s="50"/>
      <c r="XQ74" s="50"/>
      <c r="XR74" s="50"/>
      <c r="XS74" s="50"/>
      <c r="XT74" s="50"/>
      <c r="XU74" s="50"/>
      <c r="XV74" s="50"/>
      <c r="XW74" s="50"/>
      <c r="XX74" s="50"/>
      <c r="XY74" s="50"/>
      <c r="XZ74" s="50"/>
      <c r="YA74" s="50"/>
      <c r="YB74" s="50"/>
      <c r="YC74" s="50"/>
      <c r="YD74" s="50"/>
      <c r="YE74" s="50"/>
      <c r="YF74" s="50"/>
      <c r="YG74" s="50"/>
      <c r="YH74" s="50"/>
      <c r="YI74" s="50"/>
      <c r="YJ74" s="50"/>
      <c r="YK74" s="50"/>
      <c r="YL74" s="50"/>
      <c r="YM74" s="50"/>
      <c r="YN74" s="50"/>
      <c r="YO74" s="50"/>
      <c r="YP74" s="50"/>
      <c r="YQ74" s="50"/>
      <c r="YR74" s="50"/>
      <c r="YS74" s="50"/>
      <c r="YT74" s="50"/>
      <c r="YU74" s="50"/>
      <c r="YV74" s="50"/>
      <c r="YW74" s="50"/>
      <c r="YX74" s="50"/>
      <c r="YY74" s="50"/>
      <c r="YZ74" s="50"/>
      <c r="ZA74" s="50"/>
      <c r="ZB74" s="50"/>
      <c r="ZC74" s="50"/>
      <c r="ZD74" s="50"/>
      <c r="ZE74" s="50"/>
      <c r="ZF74" s="50"/>
      <c r="ZG74" s="50"/>
      <c r="ZH74" s="50"/>
      <c r="ZI74" s="50"/>
      <c r="ZJ74" s="50"/>
      <c r="ZK74" s="50"/>
      <c r="ZL74" s="50"/>
      <c r="ZM74" s="50"/>
      <c r="ZN74" s="50"/>
      <c r="ZO74" s="50"/>
      <c r="ZP74" s="50"/>
      <c r="ZQ74" s="50"/>
      <c r="ZR74" s="50"/>
      <c r="ZS74" s="50"/>
      <c r="ZT74" s="50"/>
      <c r="ZU74" s="50"/>
      <c r="ZV74" s="50"/>
      <c r="ZW74" s="50"/>
      <c r="ZX74" s="50"/>
      <c r="ZY74" s="50"/>
      <c r="ZZ74" s="50"/>
      <c r="AAA74" s="50"/>
      <c r="AAB74" s="50"/>
      <c r="AAC74" s="50"/>
      <c r="AAD74" s="50"/>
      <c r="AAE74" s="50"/>
      <c r="AAF74" s="50"/>
      <c r="AAG74" s="50"/>
      <c r="AAH74" s="50"/>
      <c r="AAI74" s="50"/>
      <c r="AAJ74" s="50"/>
      <c r="AAK74" s="50"/>
      <c r="AAL74" s="50"/>
      <c r="AAM74" s="50"/>
      <c r="AAN74" s="50"/>
      <c r="AAO74" s="50"/>
      <c r="AAP74" s="50"/>
      <c r="AAQ74" s="50"/>
      <c r="AAR74" s="50"/>
      <c r="AAS74" s="50"/>
      <c r="AAT74" s="50"/>
      <c r="AAU74" s="50"/>
      <c r="AAV74" s="50"/>
      <c r="AAW74" s="50"/>
      <c r="AAX74" s="50"/>
      <c r="AAY74" s="50"/>
      <c r="AAZ74" s="50"/>
      <c r="ABA74" s="50"/>
      <c r="ABB74" s="50"/>
      <c r="ABC74" s="50"/>
      <c r="ABD74" s="50"/>
      <c r="ABE74" s="50"/>
      <c r="ABF74" s="50"/>
      <c r="ABG74" s="50"/>
      <c r="ABH74" s="50"/>
      <c r="ABI74" s="50"/>
      <c r="ABJ74" s="50"/>
      <c r="ABK74" s="50"/>
      <c r="ABL74" s="50"/>
      <c r="ABM74" s="50"/>
      <c r="ABN74" s="50"/>
      <c r="ABO74" s="50"/>
      <c r="ABP74" s="50"/>
      <c r="ABQ74" s="50"/>
      <c r="ABR74" s="50"/>
      <c r="ABS74" s="50"/>
      <c r="ABT74" s="50"/>
      <c r="ABU74" s="50"/>
      <c r="ABV74" s="50"/>
      <c r="ABW74" s="50"/>
      <c r="ABX74" s="50"/>
      <c r="ABY74" s="50"/>
      <c r="ABZ74" s="50"/>
      <c r="ACA74" s="50"/>
      <c r="ACB74" s="50"/>
      <c r="ACC74" s="50"/>
      <c r="ACD74" s="50"/>
      <c r="ACE74" s="50"/>
      <c r="ACF74" s="50"/>
      <c r="ACG74" s="50"/>
      <c r="ACH74" s="50"/>
      <c r="ACI74" s="50"/>
      <c r="ACJ74" s="50"/>
      <c r="ACK74" s="50"/>
      <c r="ACL74" s="50"/>
      <c r="ACM74" s="50"/>
      <c r="ACN74" s="50"/>
      <c r="ACO74" s="50"/>
      <c r="ACP74" s="50"/>
      <c r="ACQ74" s="50"/>
      <c r="ACR74" s="50"/>
      <c r="ACS74" s="50"/>
      <c r="ACT74" s="50"/>
      <c r="ACU74" s="50"/>
      <c r="ACV74" s="50"/>
      <c r="ACW74" s="50"/>
      <c r="ACX74" s="50"/>
      <c r="ACY74" s="50"/>
      <c r="ACZ74" s="50"/>
      <c r="ADA74" s="50"/>
      <c r="ADB74" s="50"/>
      <c r="ADC74" s="50"/>
      <c r="ADD74" s="50"/>
      <c r="ADE74" s="50"/>
      <c r="ADF74" s="50"/>
      <c r="ADG74" s="50"/>
      <c r="ADH74" s="50"/>
      <c r="ADI74" s="50"/>
      <c r="ADJ74" s="50"/>
      <c r="ADK74" s="50"/>
      <c r="ADL74" s="50"/>
      <c r="ADM74" s="50"/>
      <c r="ADN74" s="50"/>
      <c r="ADO74" s="50"/>
      <c r="ADP74" s="50"/>
      <c r="ADQ74" s="50"/>
      <c r="ADR74" s="50"/>
      <c r="ADS74" s="50"/>
      <c r="ADT74" s="50"/>
      <c r="ADU74" s="50"/>
      <c r="ADV74" s="50"/>
      <c r="ADW74" s="50"/>
      <c r="ADX74" s="50"/>
      <c r="ADY74" s="50"/>
      <c r="ADZ74" s="50"/>
      <c r="AEA74" s="50"/>
      <c r="AEB74" s="50"/>
      <c r="AEC74" s="50"/>
      <c r="AED74" s="50"/>
      <c r="AEE74" s="50"/>
      <c r="AEF74" s="50"/>
      <c r="AEG74" s="50"/>
      <c r="AEH74" s="50"/>
      <c r="AEI74" s="50"/>
      <c r="AEJ74" s="50"/>
      <c r="AEK74" s="50"/>
      <c r="AEL74" s="50"/>
      <c r="AEM74" s="50"/>
      <c r="AEN74" s="50"/>
      <c r="AEO74" s="50"/>
      <c r="AEP74" s="50"/>
      <c r="AEQ74" s="50"/>
      <c r="AER74" s="50"/>
    </row>
    <row r="75" spans="1:824" s="51" customFormat="1" ht="54.95" customHeight="1" x14ac:dyDescent="0.3">
      <c r="A75" s="44">
        <v>45</v>
      </c>
      <c r="B75" s="62" t="s">
        <v>213</v>
      </c>
      <c r="C75" s="44">
        <v>3223004484</v>
      </c>
      <c r="D75" s="40" t="s">
        <v>95</v>
      </c>
      <c r="E75" s="35" t="s">
        <v>214</v>
      </c>
      <c r="F75" s="44" t="s">
        <v>75</v>
      </c>
      <c r="G75" s="35" t="s">
        <v>188</v>
      </c>
      <c r="H75" s="38">
        <v>31.65</v>
      </c>
      <c r="I75" s="38">
        <v>33</v>
      </c>
      <c r="J75" s="38">
        <f>10507884.35/1000</f>
        <v>10507.88435</v>
      </c>
      <c r="K75" s="38">
        <v>10785</v>
      </c>
      <c r="L75" s="38">
        <v>9579.7000000000007</v>
      </c>
      <c r="M75" s="38">
        <v>10990</v>
      </c>
      <c r="N75" s="38">
        <f>640788.5/1000</f>
        <v>640.7885</v>
      </c>
      <c r="O75" s="38">
        <v>900</v>
      </c>
      <c r="P75" s="38">
        <v>572.5</v>
      </c>
      <c r="Q75" s="38">
        <v>900</v>
      </c>
      <c r="R75" s="38">
        <v>1784.3</v>
      </c>
      <c r="S75" s="38">
        <f>4579/10000</f>
        <v>0.45789999999999997</v>
      </c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  <c r="RA75" s="50"/>
      <c r="RB75" s="50"/>
      <c r="RC75" s="50"/>
      <c r="RD75" s="50"/>
      <c r="RE75" s="50"/>
      <c r="RF75" s="50"/>
      <c r="RG75" s="50"/>
      <c r="RH75" s="50"/>
      <c r="RI75" s="50"/>
      <c r="RJ75" s="50"/>
      <c r="RK75" s="50"/>
      <c r="RL75" s="50"/>
      <c r="RM75" s="50"/>
      <c r="RN75" s="50"/>
      <c r="RO75" s="50"/>
      <c r="RP75" s="50"/>
      <c r="RQ75" s="50"/>
      <c r="RR75" s="50"/>
      <c r="RS75" s="50"/>
      <c r="RT75" s="50"/>
      <c r="RU75" s="50"/>
      <c r="RV75" s="50"/>
      <c r="RW75" s="50"/>
      <c r="RX75" s="50"/>
      <c r="RY75" s="50"/>
      <c r="RZ75" s="50"/>
      <c r="SA75" s="50"/>
      <c r="SB75" s="50"/>
      <c r="SC75" s="50"/>
      <c r="SD75" s="50"/>
      <c r="SE75" s="50"/>
      <c r="SF75" s="50"/>
      <c r="SG75" s="50"/>
      <c r="SH75" s="50"/>
      <c r="SI75" s="50"/>
      <c r="SJ75" s="50"/>
      <c r="SK75" s="50"/>
      <c r="SL75" s="50"/>
      <c r="SM75" s="50"/>
      <c r="SN75" s="50"/>
      <c r="SO75" s="50"/>
      <c r="SP75" s="50"/>
      <c r="SQ75" s="50"/>
      <c r="SR75" s="50"/>
      <c r="SS75" s="50"/>
      <c r="ST75" s="50"/>
      <c r="SU75" s="50"/>
      <c r="SV75" s="50"/>
      <c r="SW75" s="50"/>
      <c r="SX75" s="50"/>
      <c r="SY75" s="50"/>
      <c r="SZ75" s="50"/>
      <c r="TA75" s="50"/>
      <c r="TB75" s="50"/>
      <c r="TC75" s="50"/>
      <c r="TD75" s="50"/>
      <c r="TE75" s="50"/>
      <c r="TF75" s="50"/>
      <c r="TG75" s="50"/>
      <c r="TH75" s="50"/>
      <c r="TI75" s="50"/>
      <c r="TJ75" s="50"/>
      <c r="TK75" s="50"/>
      <c r="TL75" s="50"/>
      <c r="TM75" s="50"/>
      <c r="TN75" s="50"/>
      <c r="TO75" s="50"/>
      <c r="TP75" s="50"/>
      <c r="TQ75" s="50"/>
      <c r="TR75" s="50"/>
      <c r="TS75" s="50"/>
      <c r="TT75" s="50"/>
      <c r="TU75" s="50"/>
      <c r="TV75" s="50"/>
      <c r="TW75" s="50"/>
      <c r="TX75" s="50"/>
      <c r="TY75" s="50"/>
      <c r="TZ75" s="50"/>
      <c r="UA75" s="50"/>
      <c r="UB75" s="50"/>
      <c r="UC75" s="50"/>
      <c r="UD75" s="50"/>
      <c r="UE75" s="50"/>
      <c r="UF75" s="50"/>
      <c r="UG75" s="50"/>
      <c r="UH75" s="50"/>
      <c r="UI75" s="50"/>
      <c r="UJ75" s="50"/>
      <c r="UK75" s="50"/>
      <c r="UL75" s="50"/>
      <c r="UM75" s="50"/>
      <c r="UN75" s="50"/>
      <c r="UO75" s="50"/>
      <c r="UP75" s="50"/>
      <c r="UQ75" s="50"/>
      <c r="UR75" s="50"/>
      <c r="US75" s="50"/>
      <c r="UT75" s="50"/>
      <c r="UU75" s="50"/>
      <c r="UV75" s="50"/>
      <c r="UW75" s="50"/>
      <c r="UX75" s="50"/>
      <c r="UY75" s="50"/>
      <c r="UZ75" s="50"/>
      <c r="VA75" s="50"/>
      <c r="VB75" s="50"/>
      <c r="VC75" s="50"/>
      <c r="VD75" s="50"/>
      <c r="VE75" s="50"/>
      <c r="VF75" s="50"/>
      <c r="VG75" s="50"/>
      <c r="VH75" s="50"/>
      <c r="VI75" s="50"/>
      <c r="VJ75" s="50"/>
      <c r="VK75" s="50"/>
      <c r="VL75" s="50"/>
      <c r="VM75" s="50"/>
      <c r="VN75" s="50"/>
      <c r="VO75" s="50"/>
      <c r="VP75" s="50"/>
      <c r="VQ75" s="50"/>
      <c r="VR75" s="50"/>
      <c r="VS75" s="50"/>
      <c r="VT75" s="50"/>
      <c r="VU75" s="50"/>
      <c r="VV75" s="50"/>
      <c r="VW75" s="50"/>
      <c r="VX75" s="50"/>
      <c r="VY75" s="50"/>
      <c r="VZ75" s="50"/>
      <c r="WA75" s="50"/>
      <c r="WB75" s="50"/>
      <c r="WC75" s="50"/>
      <c r="WD75" s="50"/>
      <c r="WE75" s="50"/>
      <c r="WF75" s="50"/>
      <c r="WG75" s="50"/>
      <c r="WH75" s="50"/>
      <c r="WI75" s="50"/>
      <c r="WJ75" s="50"/>
      <c r="WK75" s="50"/>
      <c r="WL75" s="50"/>
      <c r="WM75" s="50"/>
      <c r="WN75" s="50"/>
      <c r="WO75" s="50"/>
      <c r="WP75" s="50"/>
      <c r="WQ75" s="50"/>
      <c r="WR75" s="50"/>
      <c r="WS75" s="50"/>
      <c r="WT75" s="50"/>
      <c r="WU75" s="50"/>
      <c r="WV75" s="50"/>
      <c r="WW75" s="50"/>
      <c r="WX75" s="50"/>
      <c r="WY75" s="50"/>
      <c r="WZ75" s="50"/>
      <c r="XA75" s="50"/>
      <c r="XB75" s="50"/>
      <c r="XC75" s="50"/>
      <c r="XD75" s="50"/>
      <c r="XE75" s="50"/>
      <c r="XF75" s="50"/>
      <c r="XG75" s="50"/>
      <c r="XH75" s="50"/>
      <c r="XI75" s="50"/>
      <c r="XJ75" s="50"/>
      <c r="XK75" s="50"/>
      <c r="XL75" s="50"/>
      <c r="XM75" s="50"/>
      <c r="XN75" s="50"/>
      <c r="XO75" s="50"/>
      <c r="XP75" s="50"/>
      <c r="XQ75" s="50"/>
      <c r="XR75" s="50"/>
      <c r="XS75" s="50"/>
      <c r="XT75" s="50"/>
      <c r="XU75" s="50"/>
      <c r="XV75" s="50"/>
      <c r="XW75" s="50"/>
      <c r="XX75" s="50"/>
      <c r="XY75" s="50"/>
      <c r="XZ75" s="50"/>
      <c r="YA75" s="50"/>
      <c r="YB75" s="50"/>
      <c r="YC75" s="50"/>
      <c r="YD75" s="50"/>
      <c r="YE75" s="50"/>
      <c r="YF75" s="50"/>
      <c r="YG75" s="50"/>
      <c r="YH75" s="50"/>
      <c r="YI75" s="50"/>
      <c r="YJ75" s="50"/>
      <c r="YK75" s="50"/>
      <c r="YL75" s="50"/>
      <c r="YM75" s="50"/>
      <c r="YN75" s="50"/>
      <c r="YO75" s="50"/>
      <c r="YP75" s="50"/>
      <c r="YQ75" s="50"/>
      <c r="YR75" s="50"/>
      <c r="YS75" s="50"/>
      <c r="YT75" s="50"/>
      <c r="YU75" s="50"/>
      <c r="YV75" s="50"/>
      <c r="YW75" s="50"/>
      <c r="YX75" s="50"/>
      <c r="YY75" s="50"/>
      <c r="YZ75" s="50"/>
      <c r="ZA75" s="50"/>
      <c r="ZB75" s="50"/>
      <c r="ZC75" s="50"/>
      <c r="ZD75" s="50"/>
      <c r="ZE75" s="50"/>
      <c r="ZF75" s="50"/>
      <c r="ZG75" s="50"/>
      <c r="ZH75" s="50"/>
      <c r="ZI75" s="50"/>
      <c r="ZJ75" s="50"/>
      <c r="ZK75" s="50"/>
      <c r="ZL75" s="50"/>
      <c r="ZM75" s="50"/>
      <c r="ZN75" s="50"/>
      <c r="ZO75" s="50"/>
      <c r="ZP75" s="50"/>
      <c r="ZQ75" s="50"/>
      <c r="ZR75" s="50"/>
      <c r="ZS75" s="50"/>
      <c r="ZT75" s="50"/>
      <c r="ZU75" s="50"/>
      <c r="ZV75" s="50"/>
      <c r="ZW75" s="50"/>
      <c r="ZX75" s="50"/>
      <c r="ZY75" s="50"/>
      <c r="ZZ75" s="50"/>
      <c r="AAA75" s="50"/>
      <c r="AAB75" s="50"/>
      <c r="AAC75" s="50"/>
      <c r="AAD75" s="50"/>
      <c r="AAE75" s="50"/>
      <c r="AAF75" s="50"/>
      <c r="AAG75" s="50"/>
      <c r="AAH75" s="50"/>
      <c r="AAI75" s="50"/>
      <c r="AAJ75" s="50"/>
      <c r="AAK75" s="50"/>
      <c r="AAL75" s="50"/>
      <c r="AAM75" s="50"/>
      <c r="AAN75" s="50"/>
      <c r="AAO75" s="50"/>
      <c r="AAP75" s="50"/>
      <c r="AAQ75" s="50"/>
      <c r="AAR75" s="50"/>
      <c r="AAS75" s="50"/>
      <c r="AAT75" s="50"/>
      <c r="AAU75" s="50"/>
      <c r="AAV75" s="50"/>
      <c r="AAW75" s="50"/>
      <c r="AAX75" s="50"/>
      <c r="AAY75" s="50"/>
      <c r="AAZ75" s="50"/>
      <c r="ABA75" s="50"/>
      <c r="ABB75" s="50"/>
      <c r="ABC75" s="50"/>
      <c r="ABD75" s="50"/>
      <c r="ABE75" s="50"/>
      <c r="ABF75" s="50"/>
      <c r="ABG75" s="50"/>
      <c r="ABH75" s="50"/>
      <c r="ABI75" s="50"/>
      <c r="ABJ75" s="50"/>
      <c r="ABK75" s="50"/>
      <c r="ABL75" s="50"/>
      <c r="ABM75" s="50"/>
      <c r="ABN75" s="50"/>
      <c r="ABO75" s="50"/>
      <c r="ABP75" s="50"/>
      <c r="ABQ75" s="50"/>
      <c r="ABR75" s="50"/>
      <c r="ABS75" s="50"/>
      <c r="ABT75" s="50"/>
      <c r="ABU75" s="50"/>
      <c r="ABV75" s="50"/>
      <c r="ABW75" s="50"/>
      <c r="ABX75" s="50"/>
      <c r="ABY75" s="50"/>
      <c r="ABZ75" s="50"/>
      <c r="ACA75" s="50"/>
      <c r="ACB75" s="50"/>
      <c r="ACC75" s="50"/>
      <c r="ACD75" s="50"/>
      <c r="ACE75" s="50"/>
      <c r="ACF75" s="50"/>
      <c r="ACG75" s="50"/>
      <c r="ACH75" s="50"/>
      <c r="ACI75" s="50"/>
      <c r="ACJ75" s="50"/>
      <c r="ACK75" s="50"/>
      <c r="ACL75" s="50"/>
      <c r="ACM75" s="50"/>
      <c r="ACN75" s="50"/>
      <c r="ACO75" s="50"/>
      <c r="ACP75" s="50"/>
      <c r="ACQ75" s="50"/>
      <c r="ACR75" s="50"/>
      <c r="ACS75" s="50"/>
      <c r="ACT75" s="50"/>
      <c r="ACU75" s="50"/>
      <c r="ACV75" s="50"/>
      <c r="ACW75" s="50"/>
      <c r="ACX75" s="50"/>
      <c r="ACY75" s="50"/>
      <c r="ACZ75" s="50"/>
      <c r="ADA75" s="50"/>
      <c r="ADB75" s="50"/>
      <c r="ADC75" s="50"/>
      <c r="ADD75" s="50"/>
      <c r="ADE75" s="50"/>
      <c r="ADF75" s="50"/>
      <c r="ADG75" s="50"/>
      <c r="ADH75" s="50"/>
      <c r="ADI75" s="50"/>
      <c r="ADJ75" s="50"/>
      <c r="ADK75" s="50"/>
      <c r="ADL75" s="50"/>
      <c r="ADM75" s="50"/>
      <c r="ADN75" s="50"/>
      <c r="ADO75" s="50"/>
      <c r="ADP75" s="50"/>
      <c r="ADQ75" s="50"/>
      <c r="ADR75" s="50"/>
      <c r="ADS75" s="50"/>
      <c r="ADT75" s="50"/>
      <c r="ADU75" s="50"/>
      <c r="ADV75" s="50"/>
      <c r="ADW75" s="50"/>
      <c r="ADX75" s="50"/>
      <c r="ADY75" s="50"/>
      <c r="ADZ75" s="50"/>
      <c r="AEA75" s="50"/>
      <c r="AEB75" s="50"/>
      <c r="AEC75" s="50"/>
      <c r="AED75" s="50"/>
      <c r="AEE75" s="50"/>
      <c r="AEF75" s="50"/>
      <c r="AEG75" s="50"/>
      <c r="AEH75" s="50"/>
      <c r="AEI75" s="50"/>
      <c r="AEJ75" s="50"/>
      <c r="AEK75" s="50"/>
      <c r="AEL75" s="50"/>
      <c r="AEM75" s="50"/>
      <c r="AEN75" s="50"/>
      <c r="AEO75" s="50"/>
      <c r="AEP75" s="50"/>
      <c r="AEQ75" s="50"/>
      <c r="AER75" s="50"/>
    </row>
    <row r="76" spans="1:824" s="51" customFormat="1" ht="54.95" customHeight="1" x14ac:dyDescent="0.3">
      <c r="A76" s="44">
        <v>46</v>
      </c>
      <c r="B76" s="47" t="s">
        <v>215</v>
      </c>
      <c r="C76" s="44">
        <v>3223004646</v>
      </c>
      <c r="D76" s="40" t="s">
        <v>95</v>
      </c>
      <c r="E76" s="35" t="s">
        <v>216</v>
      </c>
      <c r="F76" s="44" t="s">
        <v>75</v>
      </c>
      <c r="G76" s="35" t="s">
        <v>188</v>
      </c>
      <c r="H76" s="38">
        <v>29.5</v>
      </c>
      <c r="I76" s="39">
        <v>30</v>
      </c>
      <c r="J76" s="39">
        <f>9725218.66/1000</f>
        <v>9725.2186600000005</v>
      </c>
      <c r="K76" s="39">
        <v>9942</v>
      </c>
      <c r="L76" s="39">
        <v>8979.4</v>
      </c>
      <c r="M76" s="38">
        <v>1100</v>
      </c>
      <c r="N76" s="38">
        <f>619157.35/1000</f>
        <v>619.15734999999995</v>
      </c>
      <c r="O76" s="38">
        <v>650</v>
      </c>
      <c r="P76" s="38">
        <v>446.3</v>
      </c>
      <c r="Q76" s="38">
        <v>650</v>
      </c>
      <c r="R76" s="38">
        <v>1722.2</v>
      </c>
      <c r="S76" s="38">
        <f>5801/10000</f>
        <v>0.58009999999999995</v>
      </c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  <c r="NW76" s="50"/>
      <c r="NX76" s="50"/>
      <c r="NY76" s="50"/>
      <c r="NZ76" s="50"/>
      <c r="OA76" s="50"/>
      <c r="OB76" s="50"/>
      <c r="OC76" s="50"/>
      <c r="OD76" s="50"/>
      <c r="OE76" s="50"/>
      <c r="OF76" s="50"/>
      <c r="OG76" s="50"/>
      <c r="OH76" s="50"/>
      <c r="OI76" s="50"/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0"/>
      <c r="PA76" s="50"/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50"/>
      <c r="PT76" s="50"/>
      <c r="PU76" s="50"/>
      <c r="PV76" s="50"/>
      <c r="PW76" s="50"/>
      <c r="PX76" s="50"/>
      <c r="PY76" s="50"/>
      <c r="PZ76" s="50"/>
      <c r="QA76" s="50"/>
      <c r="QB76" s="50"/>
      <c r="QC76" s="50"/>
      <c r="QD76" s="50"/>
      <c r="QE76" s="50"/>
      <c r="QF76" s="50"/>
      <c r="QG76" s="50"/>
      <c r="QH76" s="50"/>
      <c r="QI76" s="50"/>
      <c r="QJ76" s="50"/>
      <c r="QK76" s="50"/>
      <c r="QL76" s="50"/>
      <c r="QM76" s="50"/>
      <c r="QN76" s="50"/>
      <c r="QO76" s="50"/>
      <c r="QP76" s="50"/>
      <c r="QQ76" s="50"/>
      <c r="QR76" s="50"/>
      <c r="QS76" s="50"/>
      <c r="QT76" s="50"/>
      <c r="QU76" s="50"/>
      <c r="QV76" s="50"/>
      <c r="QW76" s="50"/>
      <c r="QX76" s="50"/>
      <c r="QY76" s="50"/>
      <c r="QZ76" s="50"/>
      <c r="RA76" s="50"/>
      <c r="RB76" s="50"/>
      <c r="RC76" s="50"/>
      <c r="RD76" s="50"/>
      <c r="RE76" s="50"/>
      <c r="RF76" s="50"/>
      <c r="RG76" s="50"/>
      <c r="RH76" s="50"/>
      <c r="RI76" s="50"/>
      <c r="RJ76" s="50"/>
      <c r="RK76" s="50"/>
      <c r="RL76" s="50"/>
      <c r="RM76" s="50"/>
      <c r="RN76" s="50"/>
      <c r="RO76" s="50"/>
      <c r="RP76" s="50"/>
      <c r="RQ76" s="50"/>
      <c r="RR76" s="50"/>
      <c r="RS76" s="50"/>
      <c r="RT76" s="50"/>
      <c r="RU76" s="50"/>
      <c r="RV76" s="50"/>
      <c r="RW76" s="50"/>
      <c r="RX76" s="50"/>
      <c r="RY76" s="50"/>
      <c r="RZ76" s="50"/>
      <c r="SA76" s="50"/>
      <c r="SB76" s="50"/>
      <c r="SC76" s="50"/>
      <c r="SD76" s="50"/>
      <c r="SE76" s="50"/>
      <c r="SF76" s="50"/>
      <c r="SG76" s="50"/>
      <c r="SH76" s="50"/>
      <c r="SI76" s="50"/>
      <c r="SJ76" s="50"/>
      <c r="SK76" s="50"/>
      <c r="SL76" s="50"/>
      <c r="SM76" s="50"/>
      <c r="SN76" s="50"/>
      <c r="SO76" s="50"/>
      <c r="SP76" s="50"/>
      <c r="SQ76" s="50"/>
      <c r="SR76" s="50"/>
      <c r="SS76" s="50"/>
      <c r="ST76" s="50"/>
      <c r="SU76" s="50"/>
      <c r="SV76" s="50"/>
      <c r="SW76" s="50"/>
      <c r="SX76" s="50"/>
      <c r="SY76" s="50"/>
      <c r="SZ76" s="50"/>
      <c r="TA76" s="50"/>
      <c r="TB76" s="50"/>
      <c r="TC76" s="50"/>
      <c r="TD76" s="50"/>
      <c r="TE76" s="50"/>
      <c r="TF76" s="50"/>
      <c r="TG76" s="50"/>
      <c r="TH76" s="50"/>
      <c r="TI76" s="50"/>
      <c r="TJ76" s="50"/>
      <c r="TK76" s="50"/>
      <c r="TL76" s="50"/>
      <c r="TM76" s="50"/>
      <c r="TN76" s="50"/>
      <c r="TO76" s="50"/>
      <c r="TP76" s="50"/>
      <c r="TQ76" s="50"/>
      <c r="TR76" s="50"/>
      <c r="TS76" s="50"/>
      <c r="TT76" s="50"/>
      <c r="TU76" s="50"/>
      <c r="TV76" s="50"/>
      <c r="TW76" s="50"/>
      <c r="TX76" s="50"/>
      <c r="TY76" s="50"/>
      <c r="TZ76" s="50"/>
      <c r="UA76" s="50"/>
      <c r="UB76" s="50"/>
      <c r="UC76" s="50"/>
      <c r="UD76" s="50"/>
      <c r="UE76" s="50"/>
      <c r="UF76" s="50"/>
      <c r="UG76" s="50"/>
      <c r="UH76" s="50"/>
      <c r="UI76" s="50"/>
      <c r="UJ76" s="50"/>
      <c r="UK76" s="50"/>
      <c r="UL76" s="50"/>
      <c r="UM76" s="50"/>
      <c r="UN76" s="50"/>
      <c r="UO76" s="50"/>
      <c r="UP76" s="50"/>
      <c r="UQ76" s="50"/>
      <c r="UR76" s="50"/>
      <c r="US76" s="50"/>
      <c r="UT76" s="50"/>
      <c r="UU76" s="50"/>
      <c r="UV76" s="50"/>
      <c r="UW76" s="50"/>
      <c r="UX76" s="50"/>
      <c r="UY76" s="50"/>
      <c r="UZ76" s="50"/>
      <c r="VA76" s="50"/>
      <c r="VB76" s="50"/>
      <c r="VC76" s="50"/>
      <c r="VD76" s="50"/>
      <c r="VE76" s="50"/>
      <c r="VF76" s="50"/>
      <c r="VG76" s="50"/>
      <c r="VH76" s="50"/>
      <c r="VI76" s="50"/>
      <c r="VJ76" s="50"/>
      <c r="VK76" s="50"/>
      <c r="VL76" s="50"/>
      <c r="VM76" s="50"/>
      <c r="VN76" s="50"/>
      <c r="VO76" s="50"/>
      <c r="VP76" s="50"/>
      <c r="VQ76" s="50"/>
      <c r="VR76" s="50"/>
      <c r="VS76" s="50"/>
      <c r="VT76" s="50"/>
      <c r="VU76" s="50"/>
      <c r="VV76" s="50"/>
      <c r="VW76" s="50"/>
      <c r="VX76" s="50"/>
      <c r="VY76" s="50"/>
      <c r="VZ76" s="50"/>
      <c r="WA76" s="50"/>
      <c r="WB76" s="50"/>
      <c r="WC76" s="50"/>
      <c r="WD76" s="50"/>
      <c r="WE76" s="50"/>
      <c r="WF76" s="50"/>
      <c r="WG76" s="50"/>
      <c r="WH76" s="50"/>
      <c r="WI76" s="50"/>
      <c r="WJ76" s="50"/>
      <c r="WK76" s="50"/>
      <c r="WL76" s="50"/>
      <c r="WM76" s="50"/>
      <c r="WN76" s="50"/>
      <c r="WO76" s="50"/>
      <c r="WP76" s="50"/>
      <c r="WQ76" s="50"/>
      <c r="WR76" s="50"/>
      <c r="WS76" s="50"/>
      <c r="WT76" s="50"/>
      <c r="WU76" s="50"/>
      <c r="WV76" s="50"/>
      <c r="WW76" s="50"/>
      <c r="WX76" s="50"/>
      <c r="WY76" s="50"/>
      <c r="WZ76" s="50"/>
      <c r="XA76" s="50"/>
      <c r="XB76" s="50"/>
      <c r="XC76" s="50"/>
      <c r="XD76" s="50"/>
      <c r="XE76" s="50"/>
      <c r="XF76" s="50"/>
      <c r="XG76" s="50"/>
      <c r="XH76" s="50"/>
      <c r="XI76" s="50"/>
      <c r="XJ76" s="50"/>
      <c r="XK76" s="50"/>
      <c r="XL76" s="50"/>
      <c r="XM76" s="50"/>
      <c r="XN76" s="50"/>
      <c r="XO76" s="50"/>
      <c r="XP76" s="50"/>
      <c r="XQ76" s="50"/>
      <c r="XR76" s="50"/>
      <c r="XS76" s="50"/>
      <c r="XT76" s="50"/>
      <c r="XU76" s="50"/>
      <c r="XV76" s="50"/>
      <c r="XW76" s="50"/>
      <c r="XX76" s="50"/>
      <c r="XY76" s="50"/>
      <c r="XZ76" s="50"/>
      <c r="YA76" s="50"/>
      <c r="YB76" s="50"/>
      <c r="YC76" s="50"/>
      <c r="YD76" s="50"/>
      <c r="YE76" s="50"/>
      <c r="YF76" s="50"/>
      <c r="YG76" s="50"/>
      <c r="YH76" s="50"/>
      <c r="YI76" s="50"/>
      <c r="YJ76" s="50"/>
      <c r="YK76" s="50"/>
      <c r="YL76" s="50"/>
      <c r="YM76" s="50"/>
      <c r="YN76" s="50"/>
      <c r="YO76" s="50"/>
      <c r="YP76" s="50"/>
      <c r="YQ76" s="50"/>
      <c r="YR76" s="50"/>
      <c r="YS76" s="50"/>
      <c r="YT76" s="50"/>
      <c r="YU76" s="50"/>
      <c r="YV76" s="50"/>
      <c r="YW76" s="50"/>
      <c r="YX76" s="50"/>
      <c r="YY76" s="50"/>
      <c r="YZ76" s="50"/>
      <c r="ZA76" s="50"/>
      <c r="ZB76" s="50"/>
      <c r="ZC76" s="50"/>
      <c r="ZD76" s="50"/>
      <c r="ZE76" s="50"/>
      <c r="ZF76" s="50"/>
      <c r="ZG76" s="50"/>
      <c r="ZH76" s="50"/>
      <c r="ZI76" s="50"/>
      <c r="ZJ76" s="50"/>
      <c r="ZK76" s="50"/>
      <c r="ZL76" s="50"/>
      <c r="ZM76" s="50"/>
      <c r="ZN76" s="50"/>
      <c r="ZO76" s="50"/>
      <c r="ZP76" s="50"/>
      <c r="ZQ76" s="50"/>
      <c r="ZR76" s="50"/>
      <c r="ZS76" s="50"/>
      <c r="ZT76" s="50"/>
      <c r="ZU76" s="50"/>
      <c r="ZV76" s="50"/>
      <c r="ZW76" s="50"/>
      <c r="ZX76" s="50"/>
      <c r="ZY76" s="50"/>
      <c r="ZZ76" s="50"/>
      <c r="AAA76" s="50"/>
      <c r="AAB76" s="50"/>
      <c r="AAC76" s="50"/>
      <c r="AAD76" s="50"/>
      <c r="AAE76" s="50"/>
      <c r="AAF76" s="50"/>
      <c r="AAG76" s="50"/>
      <c r="AAH76" s="50"/>
      <c r="AAI76" s="50"/>
      <c r="AAJ76" s="50"/>
      <c r="AAK76" s="50"/>
      <c r="AAL76" s="50"/>
      <c r="AAM76" s="50"/>
      <c r="AAN76" s="50"/>
      <c r="AAO76" s="50"/>
      <c r="AAP76" s="50"/>
      <c r="AAQ76" s="50"/>
      <c r="AAR76" s="50"/>
      <c r="AAS76" s="50"/>
      <c r="AAT76" s="50"/>
      <c r="AAU76" s="50"/>
      <c r="AAV76" s="50"/>
      <c r="AAW76" s="50"/>
      <c r="AAX76" s="50"/>
      <c r="AAY76" s="50"/>
      <c r="AAZ76" s="50"/>
      <c r="ABA76" s="50"/>
      <c r="ABB76" s="50"/>
      <c r="ABC76" s="50"/>
      <c r="ABD76" s="50"/>
      <c r="ABE76" s="50"/>
      <c r="ABF76" s="50"/>
      <c r="ABG76" s="50"/>
      <c r="ABH76" s="50"/>
      <c r="ABI76" s="50"/>
      <c r="ABJ76" s="50"/>
      <c r="ABK76" s="50"/>
      <c r="ABL76" s="50"/>
      <c r="ABM76" s="50"/>
      <c r="ABN76" s="50"/>
      <c r="ABO76" s="50"/>
      <c r="ABP76" s="50"/>
      <c r="ABQ76" s="50"/>
      <c r="ABR76" s="50"/>
      <c r="ABS76" s="50"/>
      <c r="ABT76" s="50"/>
      <c r="ABU76" s="50"/>
      <c r="ABV76" s="50"/>
      <c r="ABW76" s="50"/>
      <c r="ABX76" s="50"/>
      <c r="ABY76" s="50"/>
      <c r="ABZ76" s="50"/>
      <c r="ACA76" s="50"/>
      <c r="ACB76" s="50"/>
      <c r="ACC76" s="50"/>
      <c r="ACD76" s="50"/>
      <c r="ACE76" s="50"/>
      <c r="ACF76" s="50"/>
      <c r="ACG76" s="50"/>
      <c r="ACH76" s="50"/>
      <c r="ACI76" s="50"/>
      <c r="ACJ76" s="50"/>
      <c r="ACK76" s="50"/>
      <c r="ACL76" s="50"/>
      <c r="ACM76" s="50"/>
      <c r="ACN76" s="50"/>
      <c r="ACO76" s="50"/>
      <c r="ACP76" s="50"/>
      <c r="ACQ76" s="50"/>
      <c r="ACR76" s="50"/>
      <c r="ACS76" s="50"/>
      <c r="ACT76" s="50"/>
      <c r="ACU76" s="50"/>
      <c r="ACV76" s="50"/>
      <c r="ACW76" s="50"/>
      <c r="ACX76" s="50"/>
      <c r="ACY76" s="50"/>
      <c r="ACZ76" s="50"/>
      <c r="ADA76" s="50"/>
      <c r="ADB76" s="50"/>
      <c r="ADC76" s="50"/>
      <c r="ADD76" s="50"/>
      <c r="ADE76" s="50"/>
      <c r="ADF76" s="50"/>
      <c r="ADG76" s="50"/>
      <c r="ADH76" s="50"/>
      <c r="ADI76" s="50"/>
      <c r="ADJ76" s="50"/>
      <c r="ADK76" s="50"/>
      <c r="ADL76" s="50"/>
      <c r="ADM76" s="50"/>
      <c r="ADN76" s="50"/>
      <c r="ADO76" s="50"/>
      <c r="ADP76" s="50"/>
      <c r="ADQ76" s="50"/>
      <c r="ADR76" s="50"/>
      <c r="ADS76" s="50"/>
      <c r="ADT76" s="50"/>
      <c r="ADU76" s="50"/>
      <c r="ADV76" s="50"/>
      <c r="ADW76" s="50"/>
      <c r="ADX76" s="50"/>
      <c r="ADY76" s="50"/>
      <c r="ADZ76" s="50"/>
      <c r="AEA76" s="50"/>
      <c r="AEB76" s="50"/>
      <c r="AEC76" s="50"/>
      <c r="AED76" s="50"/>
      <c r="AEE76" s="50"/>
      <c r="AEF76" s="50"/>
      <c r="AEG76" s="50"/>
      <c r="AEH76" s="50"/>
      <c r="AEI76" s="50"/>
      <c r="AEJ76" s="50"/>
      <c r="AEK76" s="50"/>
      <c r="AEL76" s="50"/>
      <c r="AEM76" s="50"/>
      <c r="AEN76" s="50"/>
      <c r="AEO76" s="50"/>
      <c r="AEP76" s="50"/>
      <c r="AEQ76" s="50"/>
      <c r="AER76" s="50"/>
    </row>
    <row r="77" spans="1:824" s="51" customFormat="1" ht="54.95" customHeight="1" x14ac:dyDescent="0.3">
      <c r="A77" s="44">
        <v>47</v>
      </c>
      <c r="B77" s="55" t="s">
        <v>217</v>
      </c>
      <c r="C77" s="44">
        <v>3223004533</v>
      </c>
      <c r="D77" s="40" t="s">
        <v>95</v>
      </c>
      <c r="E77" s="56" t="s">
        <v>218</v>
      </c>
      <c r="F77" s="57" t="s">
        <v>75</v>
      </c>
      <c r="G77" s="56" t="s">
        <v>188</v>
      </c>
      <c r="H77" s="60">
        <v>9.8000000000000007</v>
      </c>
      <c r="I77" s="61">
        <v>12</v>
      </c>
      <c r="J77" s="61">
        <f>3733430.82/1000</f>
        <v>3733.43082</v>
      </c>
      <c r="K77" s="61">
        <v>3964</v>
      </c>
      <c r="L77" s="61">
        <v>3432.2</v>
      </c>
      <c r="M77" s="38">
        <v>4200</v>
      </c>
      <c r="N77" s="60">
        <f>154155/1000</f>
        <v>154.155</v>
      </c>
      <c r="O77" s="60">
        <v>165.7</v>
      </c>
      <c r="P77" s="60">
        <v>122.6</v>
      </c>
      <c r="Q77" s="60">
        <v>165.7</v>
      </c>
      <c r="R77" s="60">
        <v>1650</v>
      </c>
      <c r="S77" s="60">
        <f>4231/10000</f>
        <v>0.42309999999999998</v>
      </c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  <c r="VQ77" s="50"/>
      <c r="VR77" s="50"/>
      <c r="VS77" s="50"/>
      <c r="VT77" s="50"/>
      <c r="VU77" s="50"/>
      <c r="VV77" s="50"/>
      <c r="VW77" s="50"/>
      <c r="VX77" s="50"/>
      <c r="VY77" s="50"/>
      <c r="VZ77" s="50"/>
      <c r="WA77" s="50"/>
      <c r="WB77" s="50"/>
      <c r="WC77" s="50"/>
      <c r="WD77" s="50"/>
      <c r="WE77" s="50"/>
      <c r="WF77" s="50"/>
      <c r="WG77" s="50"/>
      <c r="WH77" s="50"/>
      <c r="WI77" s="50"/>
      <c r="WJ77" s="50"/>
      <c r="WK77" s="50"/>
      <c r="WL77" s="50"/>
      <c r="WM77" s="50"/>
      <c r="WN77" s="50"/>
      <c r="WO77" s="50"/>
      <c r="WP77" s="50"/>
      <c r="WQ77" s="50"/>
      <c r="WR77" s="50"/>
      <c r="WS77" s="50"/>
      <c r="WT77" s="50"/>
      <c r="WU77" s="50"/>
      <c r="WV77" s="50"/>
      <c r="WW77" s="50"/>
      <c r="WX77" s="50"/>
      <c r="WY77" s="50"/>
      <c r="WZ77" s="50"/>
      <c r="XA77" s="50"/>
      <c r="XB77" s="50"/>
      <c r="XC77" s="50"/>
      <c r="XD77" s="50"/>
      <c r="XE77" s="50"/>
      <c r="XF77" s="50"/>
      <c r="XG77" s="50"/>
      <c r="XH77" s="50"/>
      <c r="XI77" s="50"/>
      <c r="XJ77" s="50"/>
      <c r="XK77" s="50"/>
      <c r="XL77" s="50"/>
      <c r="XM77" s="50"/>
      <c r="XN77" s="50"/>
      <c r="XO77" s="50"/>
      <c r="XP77" s="50"/>
      <c r="XQ77" s="50"/>
      <c r="XR77" s="50"/>
      <c r="XS77" s="50"/>
      <c r="XT77" s="50"/>
      <c r="XU77" s="50"/>
      <c r="XV77" s="50"/>
      <c r="XW77" s="50"/>
      <c r="XX77" s="50"/>
      <c r="XY77" s="50"/>
      <c r="XZ77" s="50"/>
      <c r="YA77" s="50"/>
      <c r="YB77" s="50"/>
      <c r="YC77" s="50"/>
      <c r="YD77" s="50"/>
      <c r="YE77" s="50"/>
      <c r="YF77" s="50"/>
      <c r="YG77" s="50"/>
      <c r="YH77" s="50"/>
      <c r="YI77" s="50"/>
      <c r="YJ77" s="50"/>
      <c r="YK77" s="50"/>
      <c r="YL77" s="50"/>
      <c r="YM77" s="50"/>
      <c r="YN77" s="50"/>
      <c r="YO77" s="50"/>
      <c r="YP77" s="50"/>
      <c r="YQ77" s="50"/>
      <c r="YR77" s="50"/>
      <c r="YS77" s="50"/>
      <c r="YT77" s="50"/>
      <c r="YU77" s="50"/>
      <c r="YV77" s="50"/>
      <c r="YW77" s="50"/>
      <c r="YX77" s="50"/>
      <c r="YY77" s="50"/>
      <c r="YZ77" s="50"/>
      <c r="ZA77" s="50"/>
      <c r="ZB77" s="50"/>
      <c r="ZC77" s="50"/>
      <c r="ZD77" s="50"/>
      <c r="ZE77" s="50"/>
      <c r="ZF77" s="50"/>
      <c r="ZG77" s="50"/>
      <c r="ZH77" s="50"/>
      <c r="ZI77" s="50"/>
      <c r="ZJ77" s="50"/>
      <c r="ZK77" s="50"/>
      <c r="ZL77" s="50"/>
      <c r="ZM77" s="50"/>
      <c r="ZN77" s="50"/>
      <c r="ZO77" s="50"/>
      <c r="ZP77" s="50"/>
      <c r="ZQ77" s="50"/>
      <c r="ZR77" s="50"/>
      <c r="ZS77" s="50"/>
      <c r="ZT77" s="50"/>
      <c r="ZU77" s="50"/>
      <c r="ZV77" s="50"/>
      <c r="ZW77" s="50"/>
      <c r="ZX77" s="50"/>
      <c r="ZY77" s="50"/>
      <c r="ZZ77" s="50"/>
      <c r="AAA77" s="50"/>
      <c r="AAB77" s="50"/>
      <c r="AAC77" s="50"/>
      <c r="AAD77" s="50"/>
      <c r="AAE77" s="50"/>
      <c r="AAF77" s="50"/>
      <c r="AAG77" s="50"/>
      <c r="AAH77" s="50"/>
      <c r="AAI77" s="50"/>
      <c r="AAJ77" s="50"/>
      <c r="AAK77" s="50"/>
      <c r="AAL77" s="50"/>
      <c r="AAM77" s="50"/>
      <c r="AAN77" s="50"/>
      <c r="AAO77" s="50"/>
      <c r="AAP77" s="50"/>
      <c r="AAQ77" s="50"/>
      <c r="AAR77" s="50"/>
      <c r="AAS77" s="50"/>
      <c r="AAT77" s="50"/>
      <c r="AAU77" s="50"/>
      <c r="AAV77" s="50"/>
      <c r="AAW77" s="50"/>
      <c r="AAX77" s="50"/>
      <c r="AAY77" s="50"/>
      <c r="AAZ77" s="50"/>
      <c r="ABA77" s="50"/>
      <c r="ABB77" s="50"/>
      <c r="ABC77" s="50"/>
      <c r="ABD77" s="50"/>
      <c r="ABE77" s="50"/>
      <c r="ABF77" s="50"/>
      <c r="ABG77" s="50"/>
      <c r="ABH77" s="50"/>
      <c r="ABI77" s="50"/>
      <c r="ABJ77" s="50"/>
      <c r="ABK77" s="50"/>
      <c r="ABL77" s="50"/>
      <c r="ABM77" s="50"/>
      <c r="ABN77" s="50"/>
      <c r="ABO77" s="50"/>
      <c r="ABP77" s="50"/>
      <c r="ABQ77" s="50"/>
      <c r="ABR77" s="50"/>
      <c r="ABS77" s="50"/>
      <c r="ABT77" s="50"/>
      <c r="ABU77" s="50"/>
      <c r="ABV77" s="50"/>
      <c r="ABW77" s="50"/>
      <c r="ABX77" s="50"/>
      <c r="ABY77" s="50"/>
      <c r="ABZ77" s="50"/>
      <c r="ACA77" s="50"/>
      <c r="ACB77" s="50"/>
      <c r="ACC77" s="50"/>
      <c r="ACD77" s="50"/>
      <c r="ACE77" s="50"/>
      <c r="ACF77" s="50"/>
      <c r="ACG77" s="50"/>
      <c r="ACH77" s="50"/>
      <c r="ACI77" s="50"/>
      <c r="ACJ77" s="50"/>
      <c r="ACK77" s="50"/>
      <c r="ACL77" s="50"/>
      <c r="ACM77" s="50"/>
      <c r="ACN77" s="50"/>
      <c r="ACO77" s="50"/>
      <c r="ACP77" s="50"/>
      <c r="ACQ77" s="50"/>
      <c r="ACR77" s="50"/>
      <c r="ACS77" s="50"/>
      <c r="ACT77" s="50"/>
      <c r="ACU77" s="50"/>
      <c r="ACV77" s="50"/>
      <c r="ACW77" s="50"/>
      <c r="ACX77" s="50"/>
      <c r="ACY77" s="50"/>
      <c r="ACZ77" s="50"/>
      <c r="ADA77" s="50"/>
      <c r="ADB77" s="50"/>
      <c r="ADC77" s="50"/>
      <c r="ADD77" s="50"/>
      <c r="ADE77" s="50"/>
      <c r="ADF77" s="50"/>
      <c r="ADG77" s="50"/>
      <c r="ADH77" s="50"/>
      <c r="ADI77" s="50"/>
      <c r="ADJ77" s="50"/>
      <c r="ADK77" s="50"/>
      <c r="ADL77" s="50"/>
      <c r="ADM77" s="50"/>
      <c r="ADN77" s="50"/>
      <c r="ADO77" s="50"/>
      <c r="ADP77" s="50"/>
      <c r="ADQ77" s="50"/>
      <c r="ADR77" s="50"/>
      <c r="ADS77" s="50"/>
      <c r="ADT77" s="50"/>
      <c r="ADU77" s="50"/>
      <c r="ADV77" s="50"/>
      <c r="ADW77" s="50"/>
      <c r="ADX77" s="50"/>
      <c r="ADY77" s="50"/>
      <c r="ADZ77" s="50"/>
      <c r="AEA77" s="50"/>
      <c r="AEB77" s="50"/>
      <c r="AEC77" s="50"/>
      <c r="AED77" s="50"/>
      <c r="AEE77" s="50"/>
      <c r="AEF77" s="50"/>
      <c r="AEG77" s="50"/>
      <c r="AEH77" s="50"/>
      <c r="AEI77" s="50"/>
      <c r="AEJ77" s="50"/>
      <c r="AEK77" s="50"/>
      <c r="AEL77" s="50"/>
      <c r="AEM77" s="50"/>
      <c r="AEN77" s="50"/>
      <c r="AEO77" s="50"/>
      <c r="AEP77" s="50"/>
      <c r="AEQ77" s="50"/>
      <c r="AER77" s="50"/>
    </row>
    <row r="78" spans="1:824" s="51" customFormat="1" ht="54.95" customHeight="1" x14ac:dyDescent="0.3">
      <c r="A78" s="44">
        <v>48</v>
      </c>
      <c r="B78" s="62" t="s">
        <v>219</v>
      </c>
      <c r="C78" s="44">
        <v>3223004607</v>
      </c>
      <c r="D78" s="40" t="s">
        <v>95</v>
      </c>
      <c r="E78" s="35" t="s">
        <v>169</v>
      </c>
      <c r="F78" s="44" t="s">
        <v>75</v>
      </c>
      <c r="G78" s="35" t="s">
        <v>188</v>
      </c>
      <c r="H78" s="38">
        <v>3.25</v>
      </c>
      <c r="I78" s="39">
        <v>3</v>
      </c>
      <c r="J78" s="39">
        <f>855794.47/1000</f>
        <v>855.79446999999993</v>
      </c>
      <c r="K78" s="39">
        <v>914.5</v>
      </c>
      <c r="L78" s="39">
        <v>691.8</v>
      </c>
      <c r="M78" s="38">
        <v>980</v>
      </c>
      <c r="N78" s="38">
        <f>56578/1000</f>
        <v>56.578000000000003</v>
      </c>
      <c r="O78" s="38">
        <v>56.6</v>
      </c>
      <c r="P78" s="38">
        <v>43.7</v>
      </c>
      <c r="Q78" s="38">
        <v>56.6</v>
      </c>
      <c r="R78" s="38">
        <v>0</v>
      </c>
      <c r="S78" s="38">
        <v>0</v>
      </c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  <c r="ABK78" s="50"/>
      <c r="ABL78" s="50"/>
      <c r="ABM78" s="50"/>
      <c r="ABN78" s="50"/>
      <c r="ABO78" s="50"/>
      <c r="ABP78" s="50"/>
      <c r="ABQ78" s="50"/>
      <c r="ABR78" s="50"/>
      <c r="ABS78" s="50"/>
      <c r="ABT78" s="50"/>
      <c r="ABU78" s="50"/>
      <c r="ABV78" s="50"/>
      <c r="ABW78" s="50"/>
      <c r="ABX78" s="50"/>
      <c r="ABY78" s="50"/>
      <c r="ABZ78" s="50"/>
      <c r="ACA78" s="50"/>
      <c r="ACB78" s="50"/>
      <c r="ACC78" s="50"/>
      <c r="ACD78" s="50"/>
      <c r="ACE78" s="50"/>
      <c r="ACF78" s="50"/>
      <c r="ACG78" s="50"/>
      <c r="ACH78" s="50"/>
      <c r="ACI78" s="50"/>
      <c r="ACJ78" s="50"/>
      <c r="ACK78" s="50"/>
      <c r="ACL78" s="50"/>
      <c r="ACM78" s="50"/>
      <c r="ACN78" s="50"/>
      <c r="ACO78" s="50"/>
      <c r="ACP78" s="50"/>
      <c r="ACQ78" s="50"/>
      <c r="ACR78" s="50"/>
      <c r="ACS78" s="50"/>
      <c r="ACT78" s="50"/>
      <c r="ACU78" s="50"/>
      <c r="ACV78" s="50"/>
      <c r="ACW78" s="50"/>
      <c r="ACX78" s="50"/>
      <c r="ACY78" s="50"/>
      <c r="ACZ78" s="50"/>
      <c r="ADA78" s="50"/>
      <c r="ADB78" s="50"/>
      <c r="ADC78" s="50"/>
      <c r="ADD78" s="50"/>
      <c r="ADE78" s="50"/>
      <c r="ADF78" s="50"/>
      <c r="ADG78" s="50"/>
      <c r="ADH78" s="50"/>
      <c r="ADI78" s="50"/>
      <c r="ADJ78" s="50"/>
      <c r="ADK78" s="50"/>
      <c r="ADL78" s="50"/>
      <c r="ADM78" s="50"/>
      <c r="ADN78" s="50"/>
      <c r="ADO78" s="50"/>
      <c r="ADP78" s="50"/>
      <c r="ADQ78" s="50"/>
      <c r="ADR78" s="50"/>
      <c r="ADS78" s="50"/>
      <c r="ADT78" s="50"/>
      <c r="ADU78" s="50"/>
      <c r="ADV78" s="50"/>
      <c r="ADW78" s="50"/>
      <c r="ADX78" s="50"/>
      <c r="ADY78" s="50"/>
      <c r="ADZ78" s="50"/>
      <c r="AEA78" s="50"/>
      <c r="AEB78" s="50"/>
      <c r="AEC78" s="50"/>
      <c r="AED78" s="50"/>
      <c r="AEE78" s="50"/>
      <c r="AEF78" s="50"/>
      <c r="AEG78" s="50"/>
      <c r="AEH78" s="50"/>
      <c r="AEI78" s="50"/>
      <c r="AEJ78" s="50"/>
      <c r="AEK78" s="50"/>
      <c r="AEL78" s="50"/>
      <c r="AEM78" s="50"/>
      <c r="AEN78" s="50"/>
      <c r="AEO78" s="50"/>
      <c r="AEP78" s="50"/>
      <c r="AEQ78" s="50"/>
      <c r="AER78" s="50"/>
    </row>
    <row r="79" spans="1:824" s="51" customFormat="1" ht="54.95" customHeight="1" x14ac:dyDescent="0.3">
      <c r="A79" s="44">
        <v>49</v>
      </c>
      <c r="B79" s="62" t="s">
        <v>220</v>
      </c>
      <c r="C79" s="44">
        <v>3223004251</v>
      </c>
      <c r="D79" s="40" t="s">
        <v>95</v>
      </c>
      <c r="E79" s="35" t="s">
        <v>185</v>
      </c>
      <c r="F79" s="44" t="s">
        <v>75</v>
      </c>
      <c r="G79" s="35" t="s">
        <v>188</v>
      </c>
      <c r="H79" s="38">
        <v>3.25</v>
      </c>
      <c r="I79" s="39">
        <v>4</v>
      </c>
      <c r="J79" s="39">
        <f>745018.02/1000</f>
        <v>745.01801999999998</v>
      </c>
      <c r="K79" s="39">
        <v>807.3</v>
      </c>
      <c r="L79" s="39">
        <v>708.9</v>
      </c>
      <c r="M79" s="38">
        <v>857</v>
      </c>
      <c r="N79" s="38">
        <f>34300/1000</f>
        <v>34.299999999999997</v>
      </c>
      <c r="O79" s="38">
        <v>60</v>
      </c>
      <c r="P79" s="38">
        <v>38.6</v>
      </c>
      <c r="Q79" s="38">
        <v>60</v>
      </c>
      <c r="R79" s="38">
        <v>0</v>
      </c>
      <c r="S79" s="38">
        <v>0</v>
      </c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  <c r="VQ79" s="50"/>
      <c r="VR79" s="50"/>
      <c r="VS79" s="50"/>
      <c r="VT79" s="50"/>
      <c r="VU79" s="50"/>
      <c r="VV79" s="50"/>
      <c r="VW79" s="50"/>
      <c r="VX79" s="50"/>
      <c r="VY79" s="50"/>
      <c r="VZ79" s="50"/>
      <c r="WA79" s="50"/>
      <c r="WB79" s="50"/>
      <c r="WC79" s="50"/>
      <c r="WD79" s="50"/>
      <c r="WE79" s="50"/>
      <c r="WF79" s="50"/>
      <c r="WG79" s="50"/>
      <c r="WH79" s="50"/>
      <c r="WI79" s="50"/>
      <c r="WJ79" s="50"/>
      <c r="WK79" s="50"/>
      <c r="WL79" s="50"/>
      <c r="WM79" s="50"/>
      <c r="WN79" s="50"/>
      <c r="WO79" s="50"/>
      <c r="WP79" s="50"/>
      <c r="WQ79" s="50"/>
      <c r="WR79" s="50"/>
      <c r="WS79" s="50"/>
      <c r="WT79" s="50"/>
      <c r="WU79" s="50"/>
      <c r="WV79" s="50"/>
      <c r="WW79" s="50"/>
      <c r="WX79" s="50"/>
      <c r="WY79" s="50"/>
      <c r="WZ79" s="50"/>
      <c r="XA79" s="50"/>
      <c r="XB79" s="50"/>
      <c r="XC79" s="50"/>
      <c r="XD79" s="50"/>
      <c r="XE79" s="50"/>
      <c r="XF79" s="50"/>
      <c r="XG79" s="50"/>
      <c r="XH79" s="50"/>
      <c r="XI79" s="50"/>
      <c r="XJ79" s="50"/>
      <c r="XK79" s="50"/>
      <c r="XL79" s="50"/>
      <c r="XM79" s="50"/>
      <c r="XN79" s="50"/>
      <c r="XO79" s="50"/>
      <c r="XP79" s="50"/>
      <c r="XQ79" s="50"/>
      <c r="XR79" s="50"/>
      <c r="XS79" s="50"/>
      <c r="XT79" s="50"/>
      <c r="XU79" s="50"/>
      <c r="XV79" s="50"/>
      <c r="XW79" s="50"/>
      <c r="XX79" s="50"/>
      <c r="XY79" s="50"/>
      <c r="XZ79" s="50"/>
      <c r="YA79" s="50"/>
      <c r="YB79" s="50"/>
      <c r="YC79" s="50"/>
      <c r="YD79" s="50"/>
      <c r="YE79" s="50"/>
      <c r="YF79" s="50"/>
      <c r="YG79" s="50"/>
      <c r="YH79" s="50"/>
      <c r="YI79" s="50"/>
      <c r="YJ79" s="50"/>
      <c r="YK79" s="50"/>
      <c r="YL79" s="50"/>
      <c r="YM79" s="50"/>
      <c r="YN79" s="50"/>
      <c r="YO79" s="50"/>
      <c r="YP79" s="50"/>
      <c r="YQ79" s="50"/>
      <c r="YR79" s="50"/>
      <c r="YS79" s="50"/>
      <c r="YT79" s="50"/>
      <c r="YU79" s="50"/>
      <c r="YV79" s="50"/>
      <c r="YW79" s="50"/>
      <c r="YX79" s="50"/>
      <c r="YY79" s="50"/>
      <c r="YZ79" s="50"/>
      <c r="ZA79" s="50"/>
      <c r="ZB79" s="50"/>
      <c r="ZC79" s="50"/>
      <c r="ZD79" s="50"/>
      <c r="ZE79" s="50"/>
      <c r="ZF79" s="50"/>
      <c r="ZG79" s="50"/>
      <c r="ZH79" s="50"/>
      <c r="ZI79" s="50"/>
      <c r="ZJ79" s="50"/>
      <c r="ZK79" s="50"/>
      <c r="ZL79" s="50"/>
      <c r="ZM79" s="50"/>
      <c r="ZN79" s="50"/>
      <c r="ZO79" s="50"/>
      <c r="ZP79" s="50"/>
      <c r="ZQ79" s="50"/>
      <c r="ZR79" s="50"/>
      <c r="ZS79" s="50"/>
      <c r="ZT79" s="50"/>
      <c r="ZU79" s="50"/>
      <c r="ZV79" s="50"/>
      <c r="ZW79" s="50"/>
      <c r="ZX79" s="50"/>
      <c r="ZY79" s="50"/>
      <c r="ZZ79" s="50"/>
      <c r="AAA79" s="50"/>
      <c r="AAB79" s="50"/>
      <c r="AAC79" s="50"/>
      <c r="AAD79" s="50"/>
      <c r="AAE79" s="50"/>
      <c r="AAF79" s="50"/>
      <c r="AAG79" s="50"/>
      <c r="AAH79" s="50"/>
      <c r="AAI79" s="50"/>
      <c r="AAJ79" s="50"/>
      <c r="AAK79" s="50"/>
      <c r="AAL79" s="50"/>
      <c r="AAM79" s="50"/>
      <c r="AAN79" s="50"/>
      <c r="AAO79" s="50"/>
      <c r="AAP79" s="50"/>
      <c r="AAQ79" s="50"/>
      <c r="AAR79" s="50"/>
      <c r="AAS79" s="50"/>
      <c r="AAT79" s="50"/>
      <c r="AAU79" s="50"/>
      <c r="AAV79" s="50"/>
      <c r="AAW79" s="50"/>
      <c r="AAX79" s="50"/>
      <c r="AAY79" s="50"/>
      <c r="AAZ79" s="50"/>
      <c r="ABA79" s="50"/>
      <c r="ABB79" s="50"/>
      <c r="ABC79" s="50"/>
      <c r="ABD79" s="50"/>
      <c r="ABE79" s="50"/>
      <c r="ABF79" s="50"/>
      <c r="ABG79" s="50"/>
      <c r="ABH79" s="50"/>
      <c r="ABI79" s="50"/>
      <c r="ABJ79" s="50"/>
      <c r="ABK79" s="50"/>
      <c r="ABL79" s="50"/>
      <c r="ABM79" s="50"/>
      <c r="ABN79" s="50"/>
      <c r="ABO79" s="50"/>
      <c r="ABP79" s="50"/>
      <c r="ABQ79" s="50"/>
      <c r="ABR79" s="50"/>
      <c r="ABS79" s="50"/>
      <c r="ABT79" s="50"/>
      <c r="ABU79" s="50"/>
      <c r="ABV79" s="50"/>
      <c r="ABW79" s="50"/>
      <c r="ABX79" s="50"/>
      <c r="ABY79" s="50"/>
      <c r="ABZ79" s="50"/>
      <c r="ACA79" s="50"/>
      <c r="ACB79" s="50"/>
      <c r="ACC79" s="50"/>
      <c r="ACD79" s="50"/>
      <c r="ACE79" s="50"/>
      <c r="ACF79" s="50"/>
      <c r="ACG79" s="50"/>
      <c r="ACH79" s="50"/>
      <c r="ACI79" s="50"/>
      <c r="ACJ79" s="50"/>
      <c r="ACK79" s="50"/>
      <c r="ACL79" s="50"/>
      <c r="ACM79" s="50"/>
      <c r="ACN79" s="50"/>
      <c r="ACO79" s="50"/>
      <c r="ACP79" s="50"/>
      <c r="ACQ79" s="50"/>
      <c r="ACR79" s="50"/>
      <c r="ACS79" s="50"/>
      <c r="ACT79" s="50"/>
      <c r="ACU79" s="50"/>
      <c r="ACV79" s="50"/>
      <c r="ACW79" s="50"/>
      <c r="ACX79" s="50"/>
      <c r="ACY79" s="50"/>
      <c r="ACZ79" s="50"/>
      <c r="ADA79" s="50"/>
      <c r="ADB79" s="50"/>
      <c r="ADC79" s="50"/>
      <c r="ADD79" s="50"/>
      <c r="ADE79" s="50"/>
      <c r="ADF79" s="50"/>
      <c r="ADG79" s="50"/>
      <c r="ADH79" s="50"/>
      <c r="ADI79" s="50"/>
      <c r="ADJ79" s="50"/>
      <c r="ADK79" s="50"/>
      <c r="ADL79" s="50"/>
      <c r="ADM79" s="50"/>
      <c r="ADN79" s="50"/>
      <c r="ADO79" s="50"/>
      <c r="ADP79" s="50"/>
      <c r="ADQ79" s="50"/>
      <c r="ADR79" s="50"/>
      <c r="ADS79" s="50"/>
      <c r="ADT79" s="50"/>
      <c r="ADU79" s="50"/>
      <c r="ADV79" s="50"/>
      <c r="ADW79" s="50"/>
      <c r="ADX79" s="50"/>
      <c r="ADY79" s="50"/>
      <c r="ADZ79" s="50"/>
      <c r="AEA79" s="50"/>
      <c r="AEB79" s="50"/>
      <c r="AEC79" s="50"/>
      <c r="AED79" s="50"/>
      <c r="AEE79" s="50"/>
      <c r="AEF79" s="50"/>
      <c r="AEG79" s="50"/>
      <c r="AEH79" s="50"/>
      <c r="AEI79" s="50"/>
      <c r="AEJ79" s="50"/>
      <c r="AEK79" s="50"/>
      <c r="AEL79" s="50"/>
      <c r="AEM79" s="50"/>
      <c r="AEN79" s="50"/>
      <c r="AEO79" s="50"/>
      <c r="AEP79" s="50"/>
      <c r="AEQ79" s="50"/>
      <c r="AER79" s="50"/>
    </row>
    <row r="80" spans="1:824" s="51" customFormat="1" ht="54.95" customHeight="1" x14ac:dyDescent="0.3">
      <c r="A80" s="44">
        <v>50</v>
      </c>
      <c r="B80" s="62" t="s">
        <v>221</v>
      </c>
      <c r="C80" s="44">
        <v>3223004212</v>
      </c>
      <c r="D80" s="40" t="s">
        <v>95</v>
      </c>
      <c r="E80" s="35" t="s">
        <v>181</v>
      </c>
      <c r="F80" s="44" t="s">
        <v>75</v>
      </c>
      <c r="G80" s="35" t="s">
        <v>188</v>
      </c>
      <c r="H80" s="38">
        <v>3.25</v>
      </c>
      <c r="I80" s="39">
        <v>3</v>
      </c>
      <c r="J80" s="39">
        <f>720546.4/1000</f>
        <v>720.54640000000006</v>
      </c>
      <c r="K80" s="39">
        <v>776.5</v>
      </c>
      <c r="L80" s="39">
        <v>678.4</v>
      </c>
      <c r="M80" s="38">
        <v>836.5</v>
      </c>
      <c r="N80" s="38">
        <f>49250/1000</f>
        <v>49.25</v>
      </c>
      <c r="O80" s="38">
        <v>59.9</v>
      </c>
      <c r="P80" s="38">
        <v>39.799999999999997</v>
      </c>
      <c r="Q80" s="38">
        <v>59.9</v>
      </c>
      <c r="R80" s="38">
        <v>0</v>
      </c>
      <c r="S80" s="38">
        <v>0</v>
      </c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</row>
    <row r="81" spans="1:824" s="51" customFormat="1" ht="95.25" customHeight="1" x14ac:dyDescent="0.3">
      <c r="A81" s="44">
        <v>51</v>
      </c>
      <c r="B81" s="62" t="s">
        <v>233</v>
      </c>
      <c r="C81" s="35">
        <v>3223005008</v>
      </c>
      <c r="D81" s="40" t="s">
        <v>95</v>
      </c>
      <c r="E81" s="34" t="s">
        <v>222</v>
      </c>
      <c r="F81" s="52" t="s">
        <v>77</v>
      </c>
      <c r="G81" s="34" t="s">
        <v>223</v>
      </c>
      <c r="H81" s="38">
        <v>35.9</v>
      </c>
      <c r="I81" s="39">
        <v>15</v>
      </c>
      <c r="J81" s="39">
        <f>7689982.97/1000</f>
        <v>7689.98297</v>
      </c>
      <c r="K81" s="39">
        <v>7955</v>
      </c>
      <c r="L81" s="39">
        <v>7784</v>
      </c>
      <c r="M81" s="38">
        <v>8255</v>
      </c>
      <c r="N81" s="38">
        <f>178310/1000</f>
        <v>178.31</v>
      </c>
      <c r="O81" s="38">
        <v>210</v>
      </c>
      <c r="P81" s="38">
        <v>123.4</v>
      </c>
      <c r="Q81" s="38">
        <v>210</v>
      </c>
      <c r="R81" s="38">
        <v>0</v>
      </c>
      <c r="S81" s="38">
        <v>0</v>
      </c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  <c r="NW81" s="50"/>
      <c r="NX81" s="50"/>
      <c r="NY81" s="50"/>
      <c r="NZ81" s="50"/>
      <c r="OA81" s="50"/>
      <c r="OB81" s="50"/>
      <c r="OC81" s="50"/>
      <c r="OD81" s="50"/>
      <c r="OE81" s="50"/>
      <c r="OF81" s="50"/>
      <c r="OG81" s="50"/>
      <c r="OH81" s="50"/>
      <c r="OI81" s="50"/>
      <c r="OJ81" s="50"/>
      <c r="OK81" s="50"/>
      <c r="OL81" s="50"/>
      <c r="OM81" s="50"/>
      <c r="ON81" s="50"/>
      <c r="OO81" s="50"/>
      <c r="OP81" s="50"/>
      <c r="OQ81" s="50"/>
      <c r="OR81" s="50"/>
      <c r="OS81" s="50"/>
      <c r="OT81" s="50"/>
      <c r="OU81" s="50"/>
      <c r="OV81" s="50"/>
      <c r="OW81" s="50"/>
      <c r="OX81" s="50"/>
      <c r="OY81" s="50"/>
      <c r="OZ81" s="50"/>
      <c r="PA81" s="50"/>
      <c r="PB81" s="50"/>
      <c r="PC81" s="50"/>
      <c r="PD81" s="50"/>
      <c r="PE81" s="50"/>
      <c r="PF81" s="50"/>
      <c r="PG81" s="50"/>
      <c r="PH81" s="50"/>
      <c r="PI81" s="50"/>
      <c r="PJ81" s="50"/>
      <c r="PK81" s="50"/>
      <c r="PL81" s="50"/>
      <c r="PM81" s="50"/>
      <c r="PN81" s="50"/>
      <c r="PO81" s="50"/>
      <c r="PP81" s="50"/>
      <c r="PQ81" s="50"/>
      <c r="PR81" s="50"/>
      <c r="PS81" s="50"/>
      <c r="PT81" s="50"/>
      <c r="PU81" s="50"/>
      <c r="PV81" s="50"/>
      <c r="PW81" s="50"/>
      <c r="PX81" s="50"/>
      <c r="PY81" s="50"/>
      <c r="PZ81" s="50"/>
      <c r="QA81" s="50"/>
      <c r="QB81" s="50"/>
      <c r="QC81" s="50"/>
      <c r="QD81" s="50"/>
      <c r="QE81" s="50"/>
      <c r="QF81" s="50"/>
      <c r="QG81" s="50"/>
      <c r="QH81" s="50"/>
      <c r="QI81" s="50"/>
      <c r="QJ81" s="50"/>
      <c r="QK81" s="50"/>
      <c r="QL81" s="50"/>
      <c r="QM81" s="50"/>
      <c r="QN81" s="50"/>
      <c r="QO81" s="50"/>
      <c r="QP81" s="50"/>
      <c r="QQ81" s="50"/>
      <c r="QR81" s="50"/>
      <c r="QS81" s="50"/>
      <c r="QT81" s="50"/>
      <c r="QU81" s="50"/>
      <c r="QV81" s="50"/>
      <c r="QW81" s="50"/>
      <c r="QX81" s="50"/>
      <c r="QY81" s="50"/>
      <c r="QZ81" s="50"/>
      <c r="RA81" s="50"/>
      <c r="RB81" s="50"/>
      <c r="RC81" s="50"/>
      <c r="RD81" s="50"/>
      <c r="RE81" s="50"/>
      <c r="RF81" s="50"/>
      <c r="RG81" s="50"/>
      <c r="RH81" s="50"/>
      <c r="RI81" s="50"/>
      <c r="RJ81" s="50"/>
      <c r="RK81" s="50"/>
      <c r="RL81" s="50"/>
      <c r="RM81" s="50"/>
      <c r="RN81" s="50"/>
      <c r="RO81" s="50"/>
      <c r="RP81" s="50"/>
      <c r="RQ81" s="50"/>
      <c r="RR81" s="50"/>
      <c r="RS81" s="50"/>
      <c r="RT81" s="50"/>
      <c r="RU81" s="50"/>
      <c r="RV81" s="50"/>
      <c r="RW81" s="50"/>
      <c r="RX81" s="50"/>
      <c r="RY81" s="50"/>
      <c r="RZ81" s="50"/>
      <c r="SA81" s="50"/>
      <c r="SB81" s="50"/>
      <c r="SC81" s="50"/>
      <c r="SD81" s="50"/>
      <c r="SE81" s="50"/>
      <c r="SF81" s="50"/>
      <c r="SG81" s="50"/>
      <c r="SH81" s="50"/>
      <c r="SI81" s="50"/>
      <c r="SJ81" s="50"/>
      <c r="SK81" s="50"/>
      <c r="SL81" s="50"/>
      <c r="SM81" s="50"/>
      <c r="SN81" s="50"/>
      <c r="SO81" s="50"/>
      <c r="SP81" s="50"/>
      <c r="SQ81" s="50"/>
      <c r="SR81" s="50"/>
      <c r="SS81" s="50"/>
      <c r="ST81" s="50"/>
      <c r="SU81" s="50"/>
      <c r="SV81" s="50"/>
      <c r="SW81" s="50"/>
      <c r="SX81" s="50"/>
      <c r="SY81" s="50"/>
      <c r="SZ81" s="50"/>
      <c r="TA81" s="50"/>
      <c r="TB81" s="50"/>
      <c r="TC81" s="50"/>
      <c r="TD81" s="50"/>
      <c r="TE81" s="50"/>
      <c r="TF81" s="50"/>
      <c r="TG81" s="50"/>
      <c r="TH81" s="50"/>
      <c r="TI81" s="50"/>
      <c r="TJ81" s="50"/>
      <c r="TK81" s="50"/>
      <c r="TL81" s="50"/>
      <c r="TM81" s="50"/>
      <c r="TN81" s="50"/>
      <c r="TO81" s="50"/>
      <c r="TP81" s="50"/>
      <c r="TQ81" s="50"/>
      <c r="TR81" s="50"/>
      <c r="TS81" s="50"/>
      <c r="TT81" s="50"/>
      <c r="TU81" s="50"/>
      <c r="TV81" s="50"/>
      <c r="TW81" s="50"/>
      <c r="TX81" s="50"/>
      <c r="TY81" s="50"/>
      <c r="TZ81" s="50"/>
      <c r="UA81" s="50"/>
      <c r="UB81" s="50"/>
      <c r="UC81" s="50"/>
      <c r="UD81" s="50"/>
      <c r="UE81" s="50"/>
      <c r="UF81" s="50"/>
      <c r="UG81" s="50"/>
      <c r="UH81" s="50"/>
      <c r="UI81" s="50"/>
      <c r="UJ81" s="50"/>
      <c r="UK81" s="50"/>
      <c r="UL81" s="50"/>
      <c r="UM81" s="50"/>
      <c r="UN81" s="50"/>
      <c r="UO81" s="50"/>
      <c r="UP81" s="50"/>
      <c r="UQ81" s="50"/>
      <c r="UR81" s="50"/>
      <c r="US81" s="50"/>
      <c r="UT81" s="50"/>
      <c r="UU81" s="50"/>
      <c r="UV81" s="50"/>
      <c r="UW81" s="50"/>
      <c r="UX81" s="50"/>
      <c r="UY81" s="50"/>
      <c r="UZ81" s="50"/>
      <c r="VA81" s="50"/>
      <c r="VB81" s="50"/>
      <c r="VC81" s="50"/>
      <c r="VD81" s="50"/>
      <c r="VE81" s="50"/>
      <c r="VF81" s="50"/>
      <c r="VG81" s="50"/>
      <c r="VH81" s="50"/>
      <c r="VI81" s="50"/>
      <c r="VJ81" s="50"/>
      <c r="VK81" s="50"/>
      <c r="VL81" s="50"/>
      <c r="VM81" s="50"/>
      <c r="VN81" s="50"/>
      <c r="VO81" s="50"/>
      <c r="VP81" s="50"/>
      <c r="VQ81" s="50"/>
      <c r="VR81" s="50"/>
      <c r="VS81" s="50"/>
      <c r="VT81" s="50"/>
      <c r="VU81" s="50"/>
      <c r="VV81" s="50"/>
      <c r="VW81" s="50"/>
      <c r="VX81" s="50"/>
      <c r="VY81" s="50"/>
      <c r="VZ81" s="50"/>
      <c r="WA81" s="50"/>
      <c r="WB81" s="50"/>
      <c r="WC81" s="50"/>
      <c r="WD81" s="50"/>
      <c r="WE81" s="50"/>
      <c r="WF81" s="50"/>
      <c r="WG81" s="50"/>
      <c r="WH81" s="50"/>
      <c r="WI81" s="50"/>
      <c r="WJ81" s="50"/>
      <c r="WK81" s="50"/>
      <c r="WL81" s="50"/>
      <c r="WM81" s="50"/>
      <c r="WN81" s="50"/>
      <c r="WO81" s="50"/>
      <c r="WP81" s="50"/>
      <c r="WQ81" s="50"/>
      <c r="WR81" s="50"/>
      <c r="WS81" s="50"/>
      <c r="WT81" s="50"/>
      <c r="WU81" s="50"/>
      <c r="WV81" s="50"/>
      <c r="WW81" s="50"/>
      <c r="WX81" s="50"/>
      <c r="WY81" s="50"/>
      <c r="WZ81" s="50"/>
      <c r="XA81" s="50"/>
      <c r="XB81" s="50"/>
      <c r="XC81" s="50"/>
      <c r="XD81" s="50"/>
      <c r="XE81" s="50"/>
      <c r="XF81" s="50"/>
      <c r="XG81" s="50"/>
      <c r="XH81" s="50"/>
      <c r="XI81" s="50"/>
      <c r="XJ81" s="50"/>
      <c r="XK81" s="50"/>
      <c r="XL81" s="50"/>
      <c r="XM81" s="50"/>
      <c r="XN81" s="50"/>
      <c r="XO81" s="50"/>
      <c r="XP81" s="50"/>
      <c r="XQ81" s="50"/>
      <c r="XR81" s="50"/>
      <c r="XS81" s="50"/>
      <c r="XT81" s="50"/>
      <c r="XU81" s="50"/>
      <c r="XV81" s="50"/>
      <c r="XW81" s="50"/>
      <c r="XX81" s="50"/>
      <c r="XY81" s="50"/>
      <c r="XZ81" s="50"/>
      <c r="YA81" s="50"/>
      <c r="YB81" s="50"/>
      <c r="YC81" s="50"/>
      <c r="YD81" s="50"/>
      <c r="YE81" s="50"/>
      <c r="YF81" s="50"/>
      <c r="YG81" s="50"/>
      <c r="YH81" s="50"/>
      <c r="YI81" s="50"/>
      <c r="YJ81" s="50"/>
      <c r="YK81" s="50"/>
      <c r="YL81" s="50"/>
      <c r="YM81" s="50"/>
      <c r="YN81" s="50"/>
      <c r="YO81" s="50"/>
      <c r="YP81" s="50"/>
      <c r="YQ81" s="50"/>
      <c r="YR81" s="50"/>
      <c r="YS81" s="50"/>
      <c r="YT81" s="50"/>
      <c r="YU81" s="50"/>
      <c r="YV81" s="50"/>
      <c r="YW81" s="50"/>
      <c r="YX81" s="50"/>
      <c r="YY81" s="50"/>
      <c r="YZ81" s="50"/>
      <c r="ZA81" s="50"/>
      <c r="ZB81" s="50"/>
      <c r="ZC81" s="50"/>
      <c r="ZD81" s="50"/>
      <c r="ZE81" s="50"/>
      <c r="ZF81" s="50"/>
      <c r="ZG81" s="50"/>
      <c r="ZH81" s="50"/>
      <c r="ZI81" s="50"/>
      <c r="ZJ81" s="50"/>
      <c r="ZK81" s="50"/>
      <c r="ZL81" s="50"/>
      <c r="ZM81" s="50"/>
      <c r="ZN81" s="50"/>
      <c r="ZO81" s="50"/>
      <c r="ZP81" s="50"/>
      <c r="ZQ81" s="50"/>
      <c r="ZR81" s="50"/>
      <c r="ZS81" s="50"/>
      <c r="ZT81" s="50"/>
      <c r="ZU81" s="50"/>
      <c r="ZV81" s="50"/>
      <c r="ZW81" s="50"/>
      <c r="ZX81" s="50"/>
      <c r="ZY81" s="50"/>
      <c r="ZZ81" s="50"/>
      <c r="AAA81" s="50"/>
      <c r="AAB81" s="50"/>
      <c r="AAC81" s="50"/>
      <c r="AAD81" s="50"/>
      <c r="AAE81" s="50"/>
      <c r="AAF81" s="50"/>
      <c r="AAG81" s="50"/>
      <c r="AAH81" s="50"/>
      <c r="AAI81" s="50"/>
      <c r="AAJ81" s="50"/>
      <c r="AAK81" s="50"/>
      <c r="AAL81" s="50"/>
      <c r="AAM81" s="50"/>
      <c r="AAN81" s="50"/>
      <c r="AAO81" s="50"/>
      <c r="AAP81" s="50"/>
      <c r="AAQ81" s="50"/>
      <c r="AAR81" s="50"/>
      <c r="AAS81" s="50"/>
      <c r="AAT81" s="50"/>
      <c r="AAU81" s="50"/>
      <c r="AAV81" s="50"/>
      <c r="AAW81" s="50"/>
      <c r="AAX81" s="50"/>
      <c r="AAY81" s="50"/>
      <c r="AAZ81" s="50"/>
      <c r="ABA81" s="50"/>
      <c r="ABB81" s="50"/>
      <c r="ABC81" s="50"/>
      <c r="ABD81" s="50"/>
      <c r="ABE81" s="50"/>
      <c r="ABF81" s="50"/>
      <c r="ABG81" s="50"/>
      <c r="ABH81" s="50"/>
      <c r="ABI81" s="50"/>
      <c r="ABJ81" s="50"/>
      <c r="ABK81" s="50"/>
      <c r="ABL81" s="50"/>
      <c r="ABM81" s="50"/>
      <c r="ABN81" s="50"/>
      <c r="ABO81" s="50"/>
      <c r="ABP81" s="50"/>
      <c r="ABQ81" s="50"/>
      <c r="ABR81" s="50"/>
      <c r="ABS81" s="50"/>
      <c r="ABT81" s="50"/>
      <c r="ABU81" s="50"/>
      <c r="ABV81" s="50"/>
      <c r="ABW81" s="50"/>
      <c r="ABX81" s="50"/>
      <c r="ABY81" s="50"/>
      <c r="ABZ81" s="50"/>
      <c r="ACA81" s="50"/>
      <c r="ACB81" s="50"/>
      <c r="ACC81" s="50"/>
      <c r="ACD81" s="50"/>
      <c r="ACE81" s="50"/>
      <c r="ACF81" s="50"/>
      <c r="ACG81" s="50"/>
      <c r="ACH81" s="50"/>
      <c r="ACI81" s="50"/>
      <c r="ACJ81" s="50"/>
      <c r="ACK81" s="50"/>
      <c r="ACL81" s="50"/>
      <c r="ACM81" s="50"/>
      <c r="ACN81" s="50"/>
      <c r="ACO81" s="50"/>
      <c r="ACP81" s="50"/>
      <c r="ACQ81" s="50"/>
      <c r="ACR81" s="50"/>
      <c r="ACS81" s="50"/>
      <c r="ACT81" s="50"/>
      <c r="ACU81" s="50"/>
      <c r="ACV81" s="50"/>
      <c r="ACW81" s="50"/>
      <c r="ACX81" s="50"/>
      <c r="ACY81" s="50"/>
      <c r="ACZ81" s="50"/>
      <c r="ADA81" s="50"/>
      <c r="ADB81" s="50"/>
      <c r="ADC81" s="50"/>
      <c r="ADD81" s="50"/>
      <c r="ADE81" s="50"/>
      <c r="ADF81" s="50"/>
      <c r="ADG81" s="50"/>
      <c r="ADH81" s="50"/>
      <c r="ADI81" s="50"/>
      <c r="ADJ81" s="50"/>
      <c r="ADK81" s="50"/>
      <c r="ADL81" s="50"/>
      <c r="ADM81" s="50"/>
      <c r="ADN81" s="50"/>
      <c r="ADO81" s="50"/>
      <c r="ADP81" s="50"/>
      <c r="ADQ81" s="50"/>
      <c r="ADR81" s="50"/>
      <c r="ADS81" s="50"/>
      <c r="ADT81" s="50"/>
      <c r="ADU81" s="50"/>
      <c r="ADV81" s="50"/>
      <c r="ADW81" s="50"/>
      <c r="ADX81" s="50"/>
      <c r="ADY81" s="50"/>
      <c r="ADZ81" s="50"/>
      <c r="AEA81" s="50"/>
      <c r="AEB81" s="50"/>
      <c r="AEC81" s="50"/>
      <c r="AED81" s="50"/>
      <c r="AEE81" s="50"/>
      <c r="AEF81" s="50"/>
      <c r="AEG81" s="50"/>
      <c r="AEH81" s="50"/>
      <c r="AEI81" s="50"/>
      <c r="AEJ81" s="50"/>
      <c r="AEK81" s="50"/>
      <c r="AEL81" s="50"/>
      <c r="AEM81" s="50"/>
      <c r="AEN81" s="50"/>
      <c r="AEO81" s="50"/>
      <c r="AEP81" s="50"/>
      <c r="AEQ81" s="50"/>
      <c r="AER81" s="50"/>
    </row>
    <row r="82" spans="1:824" s="2" customFormat="1" ht="24.95" hidden="1" customHeight="1" x14ac:dyDescent="0.3">
      <c r="A82" s="42"/>
      <c r="B82" s="62" t="s">
        <v>234</v>
      </c>
      <c r="C82" s="45">
        <v>3252000043</v>
      </c>
      <c r="D82" s="40" t="s">
        <v>95</v>
      </c>
      <c r="E82" s="46" t="s">
        <v>224</v>
      </c>
      <c r="F82" s="37" t="s">
        <v>78</v>
      </c>
      <c r="G82" s="46" t="s">
        <v>225</v>
      </c>
      <c r="H82" s="38">
        <v>11</v>
      </c>
      <c r="I82" s="39">
        <v>5</v>
      </c>
      <c r="J82" s="39">
        <f>2645347.68/1000</f>
        <v>2645.3476800000003</v>
      </c>
      <c r="K82" s="39">
        <v>3131</v>
      </c>
      <c r="L82" s="39"/>
      <c r="M82" s="38"/>
      <c r="N82" s="38">
        <f>13381.75/1000</f>
        <v>13.38175</v>
      </c>
      <c r="O82" s="38">
        <v>25</v>
      </c>
      <c r="P82" s="38">
        <f>6220/1000</f>
        <v>6.22</v>
      </c>
      <c r="Q82" s="38">
        <v>25</v>
      </c>
      <c r="R82" s="38">
        <v>658.6</v>
      </c>
      <c r="S82" s="38">
        <f>1767/10000</f>
        <v>0.1767</v>
      </c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2"/>
      <c r="AED82" s="12"/>
      <c r="AEE82" s="12"/>
      <c r="AEF82" s="12"/>
      <c r="AEG82" s="12"/>
      <c r="AEH82" s="12"/>
      <c r="AEI82" s="12"/>
      <c r="AEJ82" s="12"/>
      <c r="AEK82" s="12"/>
      <c r="AEL82" s="12"/>
      <c r="AEM82" s="12"/>
      <c r="AEN82" s="12"/>
      <c r="AEO82" s="12"/>
      <c r="AEP82" s="12"/>
      <c r="AEQ82" s="12"/>
      <c r="AER82" s="12"/>
    </row>
    <row r="83" spans="1:824" s="2" customFormat="1" ht="24.95" hidden="1" customHeight="1" x14ac:dyDescent="0.3">
      <c r="A83" s="42"/>
      <c r="B83" s="62" t="s">
        <v>235</v>
      </c>
      <c r="C83" s="45">
        <v>3223005142</v>
      </c>
      <c r="D83" s="40" t="s">
        <v>95</v>
      </c>
      <c r="E83" s="45" t="s">
        <v>222</v>
      </c>
      <c r="F83" s="42" t="s">
        <v>77</v>
      </c>
      <c r="G83" s="19" t="s">
        <v>223</v>
      </c>
      <c r="H83" s="38">
        <v>24</v>
      </c>
      <c r="I83" s="38">
        <v>10</v>
      </c>
      <c r="J83" s="38">
        <f>6214411.24/1000</f>
        <v>6214.4112400000004</v>
      </c>
      <c r="K83" s="38">
        <v>6534.6</v>
      </c>
      <c r="L83" s="38"/>
      <c r="M83" s="38"/>
      <c r="N83" s="38">
        <f>375814/1000</f>
        <v>375.81400000000002</v>
      </c>
      <c r="O83" s="38">
        <v>375.8</v>
      </c>
      <c r="P83" s="38">
        <f>334304/1000</f>
        <v>334.30399999999997</v>
      </c>
      <c r="Q83" s="38">
        <v>375.8</v>
      </c>
      <c r="R83" s="38">
        <v>2014.6</v>
      </c>
      <c r="S83" s="38">
        <f>1927/10000</f>
        <v>0.19270000000000001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2"/>
      <c r="AED83" s="12"/>
      <c r="AEE83" s="12"/>
      <c r="AEF83" s="12"/>
      <c r="AEG83" s="12"/>
      <c r="AEH83" s="12"/>
      <c r="AEI83" s="12"/>
      <c r="AEJ83" s="12"/>
      <c r="AEK83" s="12"/>
      <c r="AEL83" s="12"/>
      <c r="AEM83" s="12"/>
      <c r="AEN83" s="12"/>
      <c r="AEO83" s="12"/>
      <c r="AEP83" s="12"/>
      <c r="AEQ83" s="12"/>
      <c r="AER83" s="12"/>
    </row>
    <row r="84" spans="1:824" s="2" customFormat="1" ht="24.95" hidden="1" customHeight="1" x14ac:dyDescent="0.3">
      <c r="A84" s="42"/>
      <c r="B84" s="62" t="s">
        <v>236</v>
      </c>
      <c r="C84" s="45">
        <v>3252006214</v>
      </c>
      <c r="D84" s="40" t="s">
        <v>95</v>
      </c>
      <c r="E84" s="34" t="s">
        <v>226</v>
      </c>
      <c r="F84" s="52" t="s">
        <v>227</v>
      </c>
      <c r="G84" s="34" t="s">
        <v>228</v>
      </c>
      <c r="H84" s="38">
        <v>5.25</v>
      </c>
      <c r="I84" s="38">
        <v>6</v>
      </c>
      <c r="J84" s="38">
        <f>1390398.67/1000</f>
        <v>1390.39867</v>
      </c>
      <c r="K84" s="38">
        <v>1521.5</v>
      </c>
      <c r="L84" s="38"/>
      <c r="M84" s="38"/>
      <c r="N84" s="38">
        <f>38100/1000</f>
        <v>38.1</v>
      </c>
      <c r="O84" s="38">
        <v>62.5</v>
      </c>
      <c r="P84" s="38">
        <f>21500/1000</f>
        <v>21.5</v>
      </c>
      <c r="Q84" s="38">
        <v>62.5</v>
      </c>
      <c r="R84" s="38">
        <v>0</v>
      </c>
      <c r="S84" s="38">
        <v>0</v>
      </c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  <c r="SO84" s="12"/>
      <c r="SP84" s="12"/>
      <c r="SQ84" s="12"/>
      <c r="SR84" s="12"/>
      <c r="SS84" s="12"/>
      <c r="ST84" s="12"/>
      <c r="SU84" s="12"/>
      <c r="SV84" s="12"/>
      <c r="SW84" s="12"/>
      <c r="SX84" s="12"/>
      <c r="SY84" s="12"/>
      <c r="SZ84" s="12"/>
      <c r="TA84" s="12"/>
      <c r="TB84" s="12"/>
      <c r="TC84" s="12"/>
      <c r="TD84" s="12"/>
      <c r="TE84" s="12"/>
      <c r="TF84" s="12"/>
      <c r="TG84" s="12"/>
      <c r="TH84" s="12"/>
      <c r="TI84" s="12"/>
      <c r="TJ84" s="12"/>
      <c r="TK84" s="12"/>
      <c r="TL84" s="12"/>
      <c r="TM84" s="12"/>
      <c r="TN84" s="12"/>
      <c r="TO84" s="12"/>
      <c r="TP84" s="12"/>
      <c r="TQ84" s="12"/>
      <c r="TR84" s="12"/>
      <c r="TS84" s="12"/>
      <c r="TT84" s="12"/>
      <c r="TU84" s="12"/>
      <c r="TV84" s="12"/>
      <c r="TW84" s="12"/>
      <c r="TX84" s="12"/>
      <c r="TY84" s="12"/>
      <c r="TZ84" s="12"/>
      <c r="UA84" s="12"/>
      <c r="UB84" s="12"/>
      <c r="UC84" s="12"/>
      <c r="UD84" s="12"/>
      <c r="UE84" s="12"/>
      <c r="UF84" s="12"/>
      <c r="UG84" s="12"/>
      <c r="UH84" s="12"/>
      <c r="UI84" s="12"/>
      <c r="UJ84" s="12"/>
      <c r="UK84" s="12"/>
      <c r="UL84" s="12"/>
      <c r="UM84" s="12"/>
      <c r="UN84" s="12"/>
      <c r="UO84" s="12"/>
      <c r="UP84" s="12"/>
      <c r="UQ84" s="12"/>
      <c r="UR84" s="12"/>
      <c r="US84" s="12"/>
      <c r="UT84" s="12"/>
      <c r="UU84" s="12"/>
      <c r="UV84" s="12"/>
      <c r="UW84" s="12"/>
      <c r="UX84" s="12"/>
      <c r="UY84" s="12"/>
      <c r="UZ84" s="12"/>
      <c r="VA84" s="12"/>
      <c r="VB84" s="12"/>
      <c r="VC84" s="12"/>
      <c r="VD84" s="12"/>
      <c r="VE84" s="12"/>
      <c r="VF84" s="12"/>
      <c r="VG84" s="12"/>
      <c r="VH84" s="12"/>
      <c r="VI84" s="12"/>
      <c r="VJ84" s="12"/>
      <c r="VK84" s="12"/>
      <c r="VL84" s="12"/>
      <c r="VM84" s="12"/>
      <c r="VN84" s="12"/>
      <c r="VO84" s="12"/>
      <c r="VP84" s="12"/>
      <c r="VQ84" s="12"/>
      <c r="VR84" s="12"/>
      <c r="VS84" s="12"/>
      <c r="VT84" s="12"/>
      <c r="VU84" s="12"/>
      <c r="VV84" s="12"/>
      <c r="VW84" s="12"/>
      <c r="VX84" s="12"/>
      <c r="VY84" s="12"/>
      <c r="VZ84" s="12"/>
      <c r="WA84" s="12"/>
      <c r="WB84" s="12"/>
      <c r="WC84" s="12"/>
      <c r="WD84" s="12"/>
      <c r="WE84" s="12"/>
      <c r="WF84" s="12"/>
      <c r="WG84" s="12"/>
      <c r="WH84" s="12"/>
      <c r="WI84" s="12"/>
      <c r="WJ84" s="12"/>
      <c r="WK84" s="12"/>
      <c r="WL84" s="12"/>
      <c r="WM84" s="12"/>
      <c r="WN84" s="12"/>
      <c r="WO84" s="12"/>
      <c r="WP84" s="12"/>
      <c r="WQ84" s="12"/>
      <c r="WR84" s="12"/>
      <c r="WS84" s="12"/>
      <c r="WT84" s="12"/>
      <c r="WU84" s="12"/>
      <c r="WV84" s="12"/>
      <c r="WW84" s="12"/>
      <c r="WX84" s="12"/>
      <c r="WY84" s="12"/>
      <c r="WZ84" s="12"/>
      <c r="XA84" s="12"/>
      <c r="XB84" s="12"/>
      <c r="XC84" s="12"/>
      <c r="XD84" s="12"/>
      <c r="XE84" s="12"/>
      <c r="XF84" s="12"/>
      <c r="XG84" s="12"/>
      <c r="XH84" s="12"/>
      <c r="XI84" s="12"/>
      <c r="XJ84" s="12"/>
      <c r="XK84" s="12"/>
      <c r="XL84" s="12"/>
      <c r="XM84" s="12"/>
      <c r="XN84" s="12"/>
      <c r="XO84" s="12"/>
      <c r="XP84" s="12"/>
      <c r="XQ84" s="12"/>
      <c r="XR84" s="12"/>
      <c r="XS84" s="12"/>
      <c r="XT84" s="12"/>
      <c r="XU84" s="12"/>
      <c r="XV84" s="12"/>
      <c r="XW84" s="12"/>
      <c r="XX84" s="12"/>
      <c r="XY84" s="12"/>
      <c r="XZ84" s="12"/>
      <c r="YA84" s="12"/>
      <c r="YB84" s="12"/>
      <c r="YC84" s="12"/>
      <c r="YD84" s="12"/>
      <c r="YE84" s="12"/>
      <c r="YF84" s="12"/>
      <c r="YG84" s="12"/>
      <c r="YH84" s="12"/>
      <c r="YI84" s="12"/>
      <c r="YJ84" s="12"/>
      <c r="YK84" s="12"/>
      <c r="YL84" s="12"/>
      <c r="YM84" s="12"/>
      <c r="YN84" s="12"/>
      <c r="YO84" s="12"/>
      <c r="YP84" s="12"/>
      <c r="YQ84" s="12"/>
      <c r="YR84" s="12"/>
      <c r="YS84" s="12"/>
      <c r="YT84" s="12"/>
      <c r="YU84" s="12"/>
      <c r="YV84" s="12"/>
      <c r="YW84" s="12"/>
      <c r="YX84" s="12"/>
      <c r="YY84" s="12"/>
      <c r="YZ84" s="12"/>
      <c r="ZA84" s="12"/>
      <c r="ZB84" s="12"/>
      <c r="ZC84" s="12"/>
      <c r="ZD84" s="12"/>
      <c r="ZE84" s="12"/>
      <c r="ZF84" s="12"/>
      <c r="ZG84" s="12"/>
      <c r="ZH84" s="12"/>
      <c r="ZI84" s="12"/>
      <c r="ZJ84" s="12"/>
      <c r="ZK84" s="12"/>
      <c r="ZL84" s="12"/>
      <c r="ZM84" s="12"/>
      <c r="ZN84" s="12"/>
      <c r="ZO84" s="12"/>
      <c r="ZP84" s="12"/>
      <c r="ZQ84" s="12"/>
      <c r="ZR84" s="12"/>
      <c r="ZS84" s="12"/>
      <c r="ZT84" s="12"/>
      <c r="ZU84" s="12"/>
      <c r="ZV84" s="12"/>
      <c r="ZW84" s="12"/>
      <c r="ZX84" s="12"/>
      <c r="ZY84" s="12"/>
      <c r="ZZ84" s="12"/>
      <c r="AAA84" s="12"/>
      <c r="AAB84" s="12"/>
      <c r="AAC84" s="12"/>
      <c r="AAD84" s="12"/>
      <c r="AAE84" s="12"/>
      <c r="AAF84" s="12"/>
      <c r="AAG84" s="12"/>
      <c r="AAH84" s="12"/>
      <c r="AAI84" s="12"/>
      <c r="AAJ84" s="12"/>
      <c r="AAK84" s="12"/>
      <c r="AAL84" s="12"/>
      <c r="AAM84" s="12"/>
      <c r="AAN84" s="12"/>
      <c r="AAO84" s="12"/>
      <c r="AAP84" s="12"/>
      <c r="AAQ84" s="12"/>
      <c r="AAR84" s="12"/>
      <c r="AAS84" s="12"/>
      <c r="AAT84" s="12"/>
      <c r="AAU84" s="12"/>
      <c r="AAV84" s="12"/>
      <c r="AAW84" s="12"/>
      <c r="AAX84" s="12"/>
      <c r="AAY84" s="12"/>
      <c r="AAZ84" s="12"/>
      <c r="ABA84" s="12"/>
      <c r="ABB84" s="12"/>
      <c r="ABC84" s="12"/>
      <c r="ABD84" s="12"/>
      <c r="ABE84" s="12"/>
      <c r="ABF84" s="12"/>
      <c r="ABG84" s="12"/>
      <c r="ABH84" s="12"/>
      <c r="ABI84" s="12"/>
      <c r="ABJ84" s="12"/>
      <c r="ABK84" s="12"/>
      <c r="ABL84" s="12"/>
      <c r="ABM84" s="12"/>
      <c r="ABN84" s="12"/>
      <c r="ABO84" s="12"/>
      <c r="ABP84" s="12"/>
      <c r="ABQ84" s="12"/>
      <c r="ABR84" s="12"/>
      <c r="ABS84" s="12"/>
      <c r="ABT84" s="12"/>
      <c r="ABU84" s="12"/>
      <c r="ABV84" s="12"/>
      <c r="ABW84" s="12"/>
      <c r="ABX84" s="12"/>
      <c r="ABY84" s="12"/>
      <c r="ABZ84" s="12"/>
      <c r="ACA84" s="12"/>
      <c r="ACB84" s="12"/>
      <c r="ACC84" s="12"/>
      <c r="ACD84" s="12"/>
      <c r="ACE84" s="12"/>
      <c r="ACF84" s="12"/>
      <c r="ACG84" s="12"/>
      <c r="ACH84" s="12"/>
      <c r="ACI84" s="12"/>
      <c r="ACJ84" s="12"/>
      <c r="ACK84" s="12"/>
      <c r="ACL84" s="12"/>
      <c r="ACM84" s="12"/>
      <c r="ACN84" s="12"/>
      <c r="ACO84" s="12"/>
      <c r="ACP84" s="12"/>
      <c r="ACQ84" s="12"/>
      <c r="ACR84" s="12"/>
      <c r="ACS84" s="12"/>
      <c r="ACT84" s="12"/>
      <c r="ACU84" s="12"/>
      <c r="ACV84" s="12"/>
      <c r="ACW84" s="12"/>
      <c r="ACX84" s="12"/>
      <c r="ACY84" s="12"/>
      <c r="ACZ84" s="12"/>
      <c r="ADA84" s="12"/>
      <c r="ADB84" s="12"/>
      <c r="ADC84" s="12"/>
      <c r="ADD84" s="12"/>
      <c r="ADE84" s="12"/>
      <c r="ADF84" s="12"/>
      <c r="ADG84" s="12"/>
      <c r="ADH84" s="12"/>
      <c r="ADI84" s="12"/>
      <c r="ADJ84" s="12"/>
      <c r="ADK84" s="12"/>
      <c r="ADL84" s="12"/>
      <c r="ADM84" s="12"/>
      <c r="ADN84" s="12"/>
      <c r="ADO84" s="12"/>
      <c r="ADP84" s="12"/>
      <c r="ADQ84" s="12"/>
      <c r="ADR84" s="12"/>
      <c r="ADS84" s="12"/>
      <c r="ADT84" s="12"/>
      <c r="ADU84" s="12"/>
      <c r="ADV84" s="12"/>
      <c r="ADW84" s="12"/>
      <c r="ADX84" s="12"/>
      <c r="ADY84" s="12"/>
      <c r="ADZ84" s="12"/>
      <c r="AEA84" s="12"/>
      <c r="AEB84" s="12"/>
      <c r="AEC84" s="12"/>
      <c r="AED84" s="12"/>
      <c r="AEE84" s="12"/>
      <c r="AEF84" s="12"/>
      <c r="AEG84" s="12"/>
      <c r="AEH84" s="12"/>
      <c r="AEI84" s="12"/>
      <c r="AEJ84" s="12"/>
      <c r="AEK84" s="12"/>
      <c r="AEL84" s="12"/>
      <c r="AEM84" s="12"/>
      <c r="AEN84" s="12"/>
      <c r="AEO84" s="12"/>
      <c r="AEP84" s="12"/>
      <c r="AEQ84" s="12"/>
      <c r="AER84" s="12"/>
    </row>
    <row r="85" spans="1:824" s="2" customFormat="1" ht="24.95" hidden="1" customHeight="1" x14ac:dyDescent="0.25">
      <c r="A85" s="42"/>
      <c r="B85" s="40"/>
      <c r="C85" s="35"/>
      <c r="D85" s="40" t="s">
        <v>95</v>
      </c>
      <c r="E85" s="35"/>
      <c r="F85" s="35"/>
      <c r="G85" s="35"/>
      <c r="H85" s="49"/>
      <c r="I85" s="49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  <c r="SO85" s="12"/>
      <c r="SP85" s="12"/>
      <c r="SQ85" s="12"/>
      <c r="SR85" s="12"/>
      <c r="SS85" s="12"/>
      <c r="ST85" s="12"/>
      <c r="SU85" s="12"/>
      <c r="SV85" s="12"/>
      <c r="SW85" s="12"/>
      <c r="SX85" s="12"/>
      <c r="SY85" s="12"/>
      <c r="SZ85" s="12"/>
      <c r="TA85" s="12"/>
      <c r="TB85" s="12"/>
      <c r="TC85" s="12"/>
      <c r="TD85" s="12"/>
      <c r="TE85" s="12"/>
      <c r="TF85" s="12"/>
      <c r="TG85" s="12"/>
      <c r="TH85" s="12"/>
      <c r="TI85" s="12"/>
      <c r="TJ85" s="12"/>
      <c r="TK85" s="12"/>
      <c r="TL85" s="12"/>
      <c r="TM85" s="12"/>
      <c r="TN85" s="12"/>
      <c r="TO85" s="12"/>
      <c r="TP85" s="12"/>
      <c r="TQ85" s="12"/>
      <c r="TR85" s="12"/>
      <c r="TS85" s="12"/>
      <c r="TT85" s="12"/>
      <c r="TU85" s="12"/>
      <c r="TV85" s="12"/>
      <c r="TW85" s="12"/>
      <c r="TX85" s="12"/>
      <c r="TY85" s="12"/>
      <c r="TZ85" s="12"/>
      <c r="UA85" s="12"/>
      <c r="UB85" s="12"/>
      <c r="UC85" s="12"/>
      <c r="UD85" s="12"/>
      <c r="UE85" s="12"/>
      <c r="UF85" s="12"/>
      <c r="UG85" s="12"/>
      <c r="UH85" s="12"/>
      <c r="UI85" s="12"/>
      <c r="UJ85" s="12"/>
      <c r="UK85" s="12"/>
      <c r="UL85" s="12"/>
      <c r="UM85" s="12"/>
      <c r="UN85" s="12"/>
      <c r="UO85" s="12"/>
      <c r="UP85" s="12"/>
      <c r="UQ85" s="12"/>
      <c r="UR85" s="12"/>
      <c r="US85" s="12"/>
      <c r="UT85" s="12"/>
      <c r="UU85" s="12"/>
      <c r="UV85" s="12"/>
      <c r="UW85" s="12"/>
      <c r="UX85" s="12"/>
      <c r="UY85" s="12"/>
      <c r="UZ85" s="12"/>
      <c r="VA85" s="12"/>
      <c r="VB85" s="12"/>
      <c r="VC85" s="12"/>
      <c r="VD85" s="12"/>
      <c r="VE85" s="12"/>
      <c r="VF85" s="12"/>
      <c r="VG85" s="12"/>
      <c r="VH85" s="12"/>
      <c r="VI85" s="12"/>
      <c r="VJ85" s="12"/>
      <c r="VK85" s="12"/>
      <c r="VL85" s="12"/>
      <c r="VM85" s="12"/>
      <c r="VN85" s="12"/>
      <c r="VO85" s="12"/>
      <c r="VP85" s="12"/>
      <c r="VQ85" s="12"/>
      <c r="VR85" s="12"/>
      <c r="VS85" s="12"/>
      <c r="VT85" s="12"/>
      <c r="VU85" s="12"/>
      <c r="VV85" s="12"/>
      <c r="VW85" s="12"/>
      <c r="VX85" s="12"/>
      <c r="VY85" s="12"/>
      <c r="VZ85" s="12"/>
      <c r="WA85" s="12"/>
      <c r="WB85" s="12"/>
      <c r="WC85" s="12"/>
      <c r="WD85" s="12"/>
      <c r="WE85" s="12"/>
      <c r="WF85" s="12"/>
      <c r="WG85" s="12"/>
      <c r="WH85" s="12"/>
      <c r="WI85" s="12"/>
      <c r="WJ85" s="12"/>
      <c r="WK85" s="12"/>
      <c r="WL85" s="12"/>
      <c r="WM85" s="12"/>
      <c r="WN85" s="12"/>
      <c r="WO85" s="12"/>
      <c r="WP85" s="12"/>
      <c r="WQ85" s="12"/>
      <c r="WR85" s="12"/>
      <c r="WS85" s="12"/>
      <c r="WT85" s="12"/>
      <c r="WU85" s="12"/>
      <c r="WV85" s="12"/>
      <c r="WW85" s="12"/>
      <c r="WX85" s="12"/>
      <c r="WY85" s="12"/>
      <c r="WZ85" s="12"/>
      <c r="XA85" s="12"/>
      <c r="XB85" s="12"/>
      <c r="XC85" s="12"/>
      <c r="XD85" s="12"/>
      <c r="XE85" s="12"/>
      <c r="XF85" s="12"/>
      <c r="XG85" s="12"/>
      <c r="XH85" s="12"/>
      <c r="XI85" s="12"/>
      <c r="XJ85" s="12"/>
      <c r="XK85" s="12"/>
      <c r="XL85" s="12"/>
      <c r="XM85" s="12"/>
      <c r="XN85" s="12"/>
      <c r="XO85" s="12"/>
      <c r="XP85" s="12"/>
      <c r="XQ85" s="12"/>
      <c r="XR85" s="12"/>
      <c r="XS85" s="12"/>
      <c r="XT85" s="12"/>
      <c r="XU85" s="12"/>
      <c r="XV85" s="12"/>
      <c r="XW85" s="12"/>
      <c r="XX85" s="12"/>
      <c r="XY85" s="12"/>
      <c r="XZ85" s="12"/>
      <c r="YA85" s="12"/>
      <c r="YB85" s="12"/>
      <c r="YC85" s="12"/>
      <c r="YD85" s="12"/>
      <c r="YE85" s="12"/>
      <c r="YF85" s="12"/>
      <c r="YG85" s="12"/>
      <c r="YH85" s="12"/>
      <c r="YI85" s="12"/>
      <c r="YJ85" s="12"/>
      <c r="YK85" s="12"/>
      <c r="YL85" s="12"/>
      <c r="YM85" s="12"/>
      <c r="YN85" s="12"/>
      <c r="YO85" s="12"/>
      <c r="YP85" s="12"/>
      <c r="YQ85" s="12"/>
      <c r="YR85" s="12"/>
      <c r="YS85" s="12"/>
      <c r="YT85" s="12"/>
      <c r="YU85" s="12"/>
      <c r="YV85" s="12"/>
      <c r="YW85" s="12"/>
      <c r="YX85" s="12"/>
      <c r="YY85" s="12"/>
      <c r="YZ85" s="12"/>
      <c r="ZA85" s="12"/>
      <c r="ZB85" s="12"/>
      <c r="ZC85" s="12"/>
      <c r="ZD85" s="12"/>
      <c r="ZE85" s="12"/>
      <c r="ZF85" s="12"/>
      <c r="ZG85" s="12"/>
      <c r="ZH85" s="12"/>
      <c r="ZI85" s="12"/>
      <c r="ZJ85" s="12"/>
      <c r="ZK85" s="12"/>
      <c r="ZL85" s="12"/>
      <c r="ZM85" s="12"/>
      <c r="ZN85" s="12"/>
      <c r="ZO85" s="12"/>
      <c r="ZP85" s="12"/>
      <c r="ZQ85" s="12"/>
      <c r="ZR85" s="12"/>
      <c r="ZS85" s="12"/>
      <c r="ZT85" s="12"/>
      <c r="ZU85" s="12"/>
      <c r="ZV85" s="12"/>
      <c r="ZW85" s="12"/>
      <c r="ZX85" s="12"/>
      <c r="ZY85" s="12"/>
      <c r="ZZ85" s="12"/>
      <c r="AAA85" s="12"/>
      <c r="AAB85" s="12"/>
      <c r="AAC85" s="12"/>
      <c r="AAD85" s="12"/>
      <c r="AAE85" s="12"/>
      <c r="AAF85" s="12"/>
      <c r="AAG85" s="12"/>
      <c r="AAH85" s="12"/>
      <c r="AAI85" s="12"/>
      <c r="AAJ85" s="12"/>
      <c r="AAK85" s="12"/>
      <c r="AAL85" s="12"/>
      <c r="AAM85" s="12"/>
      <c r="AAN85" s="12"/>
      <c r="AAO85" s="12"/>
      <c r="AAP85" s="12"/>
      <c r="AAQ85" s="12"/>
      <c r="AAR85" s="12"/>
      <c r="AAS85" s="12"/>
      <c r="AAT85" s="12"/>
      <c r="AAU85" s="12"/>
      <c r="AAV85" s="12"/>
      <c r="AAW85" s="12"/>
      <c r="AAX85" s="12"/>
      <c r="AAY85" s="12"/>
      <c r="AAZ85" s="12"/>
      <c r="ABA85" s="12"/>
      <c r="ABB85" s="12"/>
      <c r="ABC85" s="12"/>
      <c r="ABD85" s="12"/>
      <c r="ABE85" s="12"/>
      <c r="ABF85" s="12"/>
      <c r="ABG85" s="12"/>
      <c r="ABH85" s="12"/>
      <c r="ABI85" s="12"/>
      <c r="ABJ85" s="12"/>
      <c r="ABK85" s="12"/>
      <c r="ABL85" s="12"/>
      <c r="ABM85" s="12"/>
      <c r="ABN85" s="12"/>
      <c r="ABO85" s="12"/>
      <c r="ABP85" s="12"/>
      <c r="ABQ85" s="12"/>
      <c r="ABR85" s="12"/>
      <c r="ABS85" s="12"/>
      <c r="ABT85" s="12"/>
      <c r="ABU85" s="12"/>
      <c r="ABV85" s="12"/>
      <c r="ABW85" s="12"/>
      <c r="ABX85" s="12"/>
      <c r="ABY85" s="12"/>
      <c r="ABZ85" s="12"/>
      <c r="ACA85" s="12"/>
      <c r="ACB85" s="12"/>
      <c r="ACC85" s="12"/>
      <c r="ACD85" s="12"/>
      <c r="ACE85" s="12"/>
      <c r="ACF85" s="12"/>
      <c r="ACG85" s="12"/>
      <c r="ACH85" s="12"/>
      <c r="ACI85" s="12"/>
      <c r="ACJ85" s="12"/>
      <c r="ACK85" s="12"/>
      <c r="ACL85" s="12"/>
      <c r="ACM85" s="12"/>
      <c r="ACN85" s="12"/>
      <c r="ACO85" s="12"/>
      <c r="ACP85" s="12"/>
      <c r="ACQ85" s="12"/>
      <c r="ACR85" s="12"/>
      <c r="ACS85" s="12"/>
      <c r="ACT85" s="12"/>
      <c r="ACU85" s="12"/>
      <c r="ACV85" s="12"/>
      <c r="ACW85" s="12"/>
      <c r="ACX85" s="12"/>
      <c r="ACY85" s="12"/>
      <c r="ACZ85" s="12"/>
      <c r="ADA85" s="12"/>
      <c r="ADB85" s="12"/>
      <c r="ADC85" s="12"/>
      <c r="ADD85" s="12"/>
      <c r="ADE85" s="12"/>
      <c r="ADF85" s="12"/>
      <c r="ADG85" s="12"/>
      <c r="ADH85" s="12"/>
      <c r="ADI85" s="12"/>
      <c r="ADJ85" s="12"/>
      <c r="ADK85" s="12"/>
      <c r="ADL85" s="12"/>
      <c r="ADM85" s="12"/>
      <c r="ADN85" s="12"/>
      <c r="ADO85" s="12"/>
      <c r="ADP85" s="12"/>
      <c r="ADQ85" s="12"/>
      <c r="ADR85" s="12"/>
      <c r="ADS85" s="12"/>
      <c r="ADT85" s="12"/>
      <c r="ADU85" s="12"/>
      <c r="ADV85" s="12"/>
      <c r="ADW85" s="12"/>
      <c r="ADX85" s="12"/>
      <c r="ADY85" s="12"/>
      <c r="ADZ85" s="12"/>
      <c r="AEA85" s="12"/>
      <c r="AEB85" s="12"/>
      <c r="AEC85" s="12"/>
      <c r="AED85" s="12"/>
      <c r="AEE85" s="12"/>
      <c r="AEF85" s="12"/>
      <c r="AEG85" s="12"/>
      <c r="AEH85" s="12"/>
      <c r="AEI85" s="12"/>
      <c r="AEJ85" s="12"/>
      <c r="AEK85" s="12"/>
      <c r="AEL85" s="12"/>
      <c r="AEM85" s="12"/>
      <c r="AEN85" s="12"/>
      <c r="AEO85" s="12"/>
      <c r="AEP85" s="12"/>
      <c r="AEQ85" s="12"/>
      <c r="AER85" s="12"/>
    </row>
    <row r="86" spans="1:824" s="2" customFormat="1" ht="24.95" hidden="1" customHeight="1" x14ac:dyDescent="0.25">
      <c r="A86" s="42"/>
      <c r="B86" s="40"/>
      <c r="C86" s="35"/>
      <c r="D86" s="40" t="s">
        <v>95</v>
      </c>
      <c r="E86" s="35"/>
      <c r="F86" s="35"/>
      <c r="G86" s="35"/>
      <c r="H86" s="49"/>
      <c r="I86" s="49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  <c r="SO86" s="12"/>
      <c r="SP86" s="12"/>
      <c r="SQ86" s="12"/>
      <c r="SR86" s="12"/>
      <c r="SS86" s="12"/>
      <c r="ST86" s="12"/>
      <c r="SU86" s="12"/>
      <c r="SV86" s="12"/>
      <c r="SW86" s="12"/>
      <c r="SX86" s="12"/>
      <c r="SY86" s="12"/>
      <c r="SZ86" s="12"/>
      <c r="TA86" s="12"/>
      <c r="TB86" s="12"/>
      <c r="TC86" s="12"/>
      <c r="TD86" s="12"/>
      <c r="TE86" s="12"/>
      <c r="TF86" s="12"/>
      <c r="TG86" s="12"/>
      <c r="TH86" s="12"/>
      <c r="TI86" s="12"/>
      <c r="TJ86" s="12"/>
      <c r="TK86" s="12"/>
      <c r="TL86" s="12"/>
      <c r="TM86" s="12"/>
      <c r="TN86" s="12"/>
      <c r="TO86" s="12"/>
      <c r="TP86" s="12"/>
      <c r="TQ86" s="12"/>
      <c r="TR86" s="12"/>
      <c r="TS86" s="12"/>
      <c r="TT86" s="12"/>
      <c r="TU86" s="12"/>
      <c r="TV86" s="12"/>
      <c r="TW86" s="12"/>
      <c r="TX86" s="12"/>
      <c r="TY86" s="12"/>
      <c r="TZ86" s="12"/>
      <c r="UA86" s="12"/>
      <c r="UB86" s="12"/>
      <c r="UC86" s="12"/>
      <c r="UD86" s="12"/>
      <c r="UE86" s="12"/>
      <c r="UF86" s="12"/>
      <c r="UG86" s="12"/>
      <c r="UH86" s="12"/>
      <c r="UI86" s="12"/>
      <c r="UJ86" s="12"/>
      <c r="UK86" s="12"/>
      <c r="UL86" s="12"/>
      <c r="UM86" s="12"/>
      <c r="UN86" s="12"/>
      <c r="UO86" s="12"/>
      <c r="UP86" s="12"/>
      <c r="UQ86" s="12"/>
      <c r="UR86" s="12"/>
      <c r="US86" s="12"/>
      <c r="UT86" s="12"/>
      <c r="UU86" s="12"/>
      <c r="UV86" s="12"/>
      <c r="UW86" s="12"/>
      <c r="UX86" s="12"/>
      <c r="UY86" s="12"/>
      <c r="UZ86" s="12"/>
      <c r="VA86" s="12"/>
      <c r="VB86" s="12"/>
      <c r="VC86" s="12"/>
      <c r="VD86" s="12"/>
      <c r="VE86" s="12"/>
      <c r="VF86" s="12"/>
      <c r="VG86" s="12"/>
      <c r="VH86" s="12"/>
      <c r="VI86" s="12"/>
      <c r="VJ86" s="12"/>
      <c r="VK86" s="12"/>
      <c r="VL86" s="12"/>
      <c r="VM86" s="12"/>
      <c r="VN86" s="12"/>
      <c r="VO86" s="12"/>
      <c r="VP86" s="12"/>
      <c r="VQ86" s="12"/>
      <c r="VR86" s="12"/>
      <c r="VS86" s="12"/>
      <c r="VT86" s="12"/>
      <c r="VU86" s="12"/>
      <c r="VV86" s="12"/>
      <c r="VW86" s="12"/>
      <c r="VX86" s="12"/>
      <c r="VY86" s="12"/>
      <c r="VZ86" s="12"/>
      <c r="WA86" s="12"/>
      <c r="WB86" s="12"/>
      <c r="WC86" s="12"/>
      <c r="WD86" s="12"/>
      <c r="WE86" s="12"/>
      <c r="WF86" s="12"/>
      <c r="WG86" s="12"/>
      <c r="WH86" s="12"/>
      <c r="WI86" s="12"/>
      <c r="WJ86" s="12"/>
      <c r="WK86" s="12"/>
      <c r="WL86" s="12"/>
      <c r="WM86" s="12"/>
      <c r="WN86" s="12"/>
      <c r="WO86" s="12"/>
      <c r="WP86" s="12"/>
      <c r="WQ86" s="12"/>
      <c r="WR86" s="12"/>
      <c r="WS86" s="12"/>
      <c r="WT86" s="12"/>
      <c r="WU86" s="12"/>
      <c r="WV86" s="12"/>
      <c r="WW86" s="12"/>
      <c r="WX86" s="12"/>
      <c r="WY86" s="12"/>
      <c r="WZ86" s="12"/>
      <c r="XA86" s="12"/>
      <c r="XB86" s="12"/>
      <c r="XC86" s="12"/>
      <c r="XD86" s="12"/>
      <c r="XE86" s="12"/>
      <c r="XF86" s="12"/>
      <c r="XG86" s="12"/>
      <c r="XH86" s="12"/>
      <c r="XI86" s="12"/>
      <c r="XJ86" s="12"/>
      <c r="XK86" s="12"/>
      <c r="XL86" s="12"/>
      <c r="XM86" s="12"/>
      <c r="XN86" s="12"/>
      <c r="XO86" s="12"/>
      <c r="XP86" s="12"/>
      <c r="XQ86" s="12"/>
      <c r="XR86" s="12"/>
      <c r="XS86" s="12"/>
      <c r="XT86" s="12"/>
      <c r="XU86" s="12"/>
      <c r="XV86" s="12"/>
      <c r="XW86" s="12"/>
      <c r="XX86" s="12"/>
      <c r="XY86" s="12"/>
      <c r="XZ86" s="12"/>
      <c r="YA86" s="12"/>
      <c r="YB86" s="12"/>
      <c r="YC86" s="12"/>
      <c r="YD86" s="12"/>
      <c r="YE86" s="12"/>
      <c r="YF86" s="12"/>
      <c r="YG86" s="12"/>
      <c r="YH86" s="12"/>
      <c r="YI86" s="12"/>
      <c r="YJ86" s="12"/>
      <c r="YK86" s="12"/>
      <c r="YL86" s="12"/>
      <c r="YM86" s="12"/>
      <c r="YN86" s="12"/>
      <c r="YO86" s="12"/>
      <c r="YP86" s="12"/>
      <c r="YQ86" s="12"/>
      <c r="YR86" s="12"/>
      <c r="YS86" s="12"/>
      <c r="YT86" s="12"/>
      <c r="YU86" s="12"/>
      <c r="YV86" s="12"/>
      <c r="YW86" s="12"/>
      <c r="YX86" s="12"/>
      <c r="YY86" s="12"/>
      <c r="YZ86" s="12"/>
      <c r="ZA86" s="12"/>
      <c r="ZB86" s="12"/>
      <c r="ZC86" s="12"/>
      <c r="ZD86" s="12"/>
      <c r="ZE86" s="12"/>
      <c r="ZF86" s="12"/>
      <c r="ZG86" s="12"/>
      <c r="ZH86" s="12"/>
      <c r="ZI86" s="12"/>
      <c r="ZJ86" s="12"/>
      <c r="ZK86" s="12"/>
      <c r="ZL86" s="12"/>
      <c r="ZM86" s="12"/>
      <c r="ZN86" s="12"/>
      <c r="ZO86" s="12"/>
      <c r="ZP86" s="12"/>
      <c r="ZQ86" s="12"/>
      <c r="ZR86" s="12"/>
      <c r="ZS86" s="12"/>
      <c r="ZT86" s="12"/>
      <c r="ZU86" s="12"/>
      <c r="ZV86" s="12"/>
      <c r="ZW86" s="12"/>
      <c r="ZX86" s="12"/>
      <c r="ZY86" s="12"/>
      <c r="ZZ86" s="12"/>
      <c r="AAA86" s="12"/>
      <c r="AAB86" s="12"/>
      <c r="AAC86" s="12"/>
      <c r="AAD86" s="12"/>
      <c r="AAE86" s="12"/>
      <c r="AAF86" s="12"/>
      <c r="AAG86" s="12"/>
      <c r="AAH86" s="12"/>
      <c r="AAI86" s="12"/>
      <c r="AAJ86" s="12"/>
      <c r="AAK86" s="12"/>
      <c r="AAL86" s="12"/>
      <c r="AAM86" s="12"/>
      <c r="AAN86" s="12"/>
      <c r="AAO86" s="12"/>
      <c r="AAP86" s="12"/>
      <c r="AAQ86" s="12"/>
      <c r="AAR86" s="12"/>
      <c r="AAS86" s="12"/>
      <c r="AAT86" s="12"/>
      <c r="AAU86" s="12"/>
      <c r="AAV86" s="12"/>
      <c r="AAW86" s="12"/>
      <c r="AAX86" s="12"/>
      <c r="AAY86" s="12"/>
      <c r="AAZ86" s="12"/>
      <c r="ABA86" s="12"/>
      <c r="ABB86" s="12"/>
      <c r="ABC86" s="12"/>
      <c r="ABD86" s="12"/>
      <c r="ABE86" s="12"/>
      <c r="ABF86" s="12"/>
      <c r="ABG86" s="12"/>
      <c r="ABH86" s="12"/>
      <c r="ABI86" s="12"/>
      <c r="ABJ86" s="12"/>
      <c r="ABK86" s="12"/>
      <c r="ABL86" s="12"/>
      <c r="ABM86" s="12"/>
      <c r="ABN86" s="12"/>
      <c r="ABO86" s="12"/>
      <c r="ABP86" s="12"/>
      <c r="ABQ86" s="12"/>
      <c r="ABR86" s="12"/>
      <c r="ABS86" s="12"/>
      <c r="ABT86" s="12"/>
      <c r="ABU86" s="12"/>
      <c r="ABV86" s="12"/>
      <c r="ABW86" s="12"/>
      <c r="ABX86" s="12"/>
      <c r="ABY86" s="12"/>
      <c r="ABZ86" s="12"/>
      <c r="ACA86" s="12"/>
      <c r="ACB86" s="12"/>
      <c r="ACC86" s="12"/>
      <c r="ACD86" s="12"/>
      <c r="ACE86" s="12"/>
      <c r="ACF86" s="12"/>
      <c r="ACG86" s="12"/>
      <c r="ACH86" s="12"/>
      <c r="ACI86" s="12"/>
      <c r="ACJ86" s="12"/>
      <c r="ACK86" s="12"/>
      <c r="ACL86" s="12"/>
      <c r="ACM86" s="12"/>
      <c r="ACN86" s="12"/>
      <c r="ACO86" s="12"/>
      <c r="ACP86" s="12"/>
      <c r="ACQ86" s="12"/>
      <c r="ACR86" s="12"/>
      <c r="ACS86" s="12"/>
      <c r="ACT86" s="12"/>
      <c r="ACU86" s="12"/>
      <c r="ACV86" s="12"/>
      <c r="ACW86" s="12"/>
      <c r="ACX86" s="12"/>
      <c r="ACY86" s="12"/>
      <c r="ACZ86" s="12"/>
      <c r="ADA86" s="12"/>
      <c r="ADB86" s="12"/>
      <c r="ADC86" s="12"/>
      <c r="ADD86" s="12"/>
      <c r="ADE86" s="12"/>
      <c r="ADF86" s="12"/>
      <c r="ADG86" s="12"/>
      <c r="ADH86" s="12"/>
      <c r="ADI86" s="12"/>
      <c r="ADJ86" s="12"/>
      <c r="ADK86" s="12"/>
      <c r="ADL86" s="12"/>
      <c r="ADM86" s="12"/>
      <c r="ADN86" s="12"/>
      <c r="ADO86" s="12"/>
      <c r="ADP86" s="12"/>
      <c r="ADQ86" s="12"/>
      <c r="ADR86" s="12"/>
      <c r="ADS86" s="12"/>
      <c r="ADT86" s="12"/>
      <c r="ADU86" s="12"/>
      <c r="ADV86" s="12"/>
      <c r="ADW86" s="12"/>
      <c r="ADX86" s="12"/>
      <c r="ADY86" s="12"/>
      <c r="ADZ86" s="12"/>
      <c r="AEA86" s="12"/>
      <c r="AEB86" s="12"/>
      <c r="AEC86" s="12"/>
      <c r="AED86" s="12"/>
      <c r="AEE86" s="12"/>
      <c r="AEF86" s="12"/>
      <c r="AEG86" s="12"/>
      <c r="AEH86" s="12"/>
      <c r="AEI86" s="12"/>
      <c r="AEJ86" s="12"/>
      <c r="AEK86" s="12"/>
      <c r="AEL86" s="12"/>
      <c r="AEM86" s="12"/>
      <c r="AEN86" s="12"/>
      <c r="AEO86" s="12"/>
      <c r="AEP86" s="12"/>
      <c r="AEQ86" s="12"/>
      <c r="AER86" s="12"/>
    </row>
    <row r="87" spans="1:824" s="2" customFormat="1" ht="24.95" hidden="1" customHeight="1" x14ac:dyDescent="0.25">
      <c r="A87" s="42"/>
      <c r="B87" s="40"/>
      <c r="C87" s="35"/>
      <c r="D87" s="40" t="s">
        <v>95</v>
      </c>
      <c r="E87" s="35"/>
      <c r="F87" s="35"/>
      <c r="G87" s="35"/>
      <c r="H87" s="49"/>
      <c r="I87" s="49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  <c r="TZ87" s="12"/>
      <c r="UA87" s="12"/>
      <c r="UB87" s="12"/>
      <c r="UC87" s="12"/>
      <c r="UD87" s="12"/>
      <c r="UE87" s="12"/>
      <c r="UF87" s="12"/>
      <c r="UG87" s="12"/>
      <c r="UH87" s="12"/>
      <c r="UI87" s="12"/>
      <c r="UJ87" s="12"/>
      <c r="UK87" s="12"/>
      <c r="UL87" s="12"/>
      <c r="UM87" s="12"/>
      <c r="UN87" s="12"/>
      <c r="UO87" s="12"/>
      <c r="UP87" s="12"/>
      <c r="UQ87" s="12"/>
      <c r="UR87" s="12"/>
      <c r="US87" s="12"/>
      <c r="UT87" s="12"/>
      <c r="UU87" s="12"/>
      <c r="UV87" s="12"/>
      <c r="UW87" s="12"/>
      <c r="UX87" s="12"/>
      <c r="UY87" s="12"/>
      <c r="UZ87" s="12"/>
      <c r="VA87" s="12"/>
      <c r="VB87" s="12"/>
      <c r="VC87" s="12"/>
      <c r="VD87" s="12"/>
      <c r="VE87" s="12"/>
      <c r="VF87" s="12"/>
      <c r="VG87" s="12"/>
      <c r="VH87" s="12"/>
      <c r="VI87" s="12"/>
      <c r="VJ87" s="12"/>
      <c r="VK87" s="12"/>
      <c r="VL87" s="12"/>
      <c r="VM87" s="12"/>
      <c r="VN87" s="12"/>
      <c r="VO87" s="12"/>
      <c r="VP87" s="12"/>
      <c r="VQ87" s="12"/>
      <c r="VR87" s="12"/>
      <c r="VS87" s="12"/>
      <c r="VT87" s="12"/>
      <c r="VU87" s="12"/>
      <c r="VV87" s="12"/>
      <c r="VW87" s="12"/>
      <c r="VX87" s="12"/>
      <c r="VY87" s="12"/>
      <c r="VZ87" s="12"/>
      <c r="WA87" s="12"/>
      <c r="WB87" s="12"/>
      <c r="WC87" s="12"/>
      <c r="WD87" s="12"/>
      <c r="WE87" s="12"/>
      <c r="WF87" s="12"/>
      <c r="WG87" s="12"/>
      <c r="WH87" s="12"/>
      <c r="WI87" s="12"/>
      <c r="WJ87" s="12"/>
      <c r="WK87" s="12"/>
      <c r="WL87" s="12"/>
      <c r="WM87" s="12"/>
      <c r="WN87" s="12"/>
      <c r="WO87" s="12"/>
      <c r="WP87" s="12"/>
      <c r="WQ87" s="12"/>
      <c r="WR87" s="12"/>
      <c r="WS87" s="12"/>
      <c r="WT87" s="12"/>
      <c r="WU87" s="12"/>
      <c r="WV87" s="12"/>
      <c r="WW87" s="12"/>
      <c r="WX87" s="12"/>
      <c r="WY87" s="12"/>
      <c r="WZ87" s="12"/>
      <c r="XA87" s="12"/>
      <c r="XB87" s="12"/>
      <c r="XC87" s="12"/>
      <c r="XD87" s="12"/>
      <c r="XE87" s="12"/>
      <c r="XF87" s="12"/>
      <c r="XG87" s="12"/>
      <c r="XH87" s="12"/>
      <c r="XI87" s="12"/>
      <c r="XJ87" s="12"/>
      <c r="XK87" s="12"/>
      <c r="XL87" s="12"/>
      <c r="XM87" s="12"/>
      <c r="XN87" s="12"/>
      <c r="XO87" s="12"/>
      <c r="XP87" s="12"/>
      <c r="XQ87" s="12"/>
      <c r="XR87" s="12"/>
      <c r="XS87" s="12"/>
      <c r="XT87" s="12"/>
      <c r="XU87" s="12"/>
      <c r="XV87" s="12"/>
      <c r="XW87" s="12"/>
      <c r="XX87" s="12"/>
      <c r="XY87" s="12"/>
      <c r="XZ87" s="12"/>
      <c r="YA87" s="12"/>
      <c r="YB87" s="12"/>
      <c r="YC87" s="12"/>
      <c r="YD87" s="12"/>
      <c r="YE87" s="12"/>
      <c r="YF87" s="12"/>
      <c r="YG87" s="12"/>
      <c r="YH87" s="12"/>
      <c r="YI87" s="12"/>
      <c r="YJ87" s="12"/>
      <c r="YK87" s="12"/>
      <c r="YL87" s="12"/>
      <c r="YM87" s="12"/>
      <c r="YN87" s="12"/>
      <c r="YO87" s="12"/>
      <c r="YP87" s="12"/>
      <c r="YQ87" s="12"/>
      <c r="YR87" s="12"/>
      <c r="YS87" s="12"/>
      <c r="YT87" s="12"/>
      <c r="YU87" s="12"/>
      <c r="YV87" s="12"/>
      <c r="YW87" s="12"/>
      <c r="YX87" s="12"/>
      <c r="YY87" s="12"/>
      <c r="YZ87" s="12"/>
      <c r="ZA87" s="12"/>
      <c r="ZB87" s="12"/>
      <c r="ZC87" s="12"/>
      <c r="ZD87" s="12"/>
      <c r="ZE87" s="12"/>
      <c r="ZF87" s="12"/>
      <c r="ZG87" s="12"/>
      <c r="ZH87" s="12"/>
      <c r="ZI87" s="12"/>
      <c r="ZJ87" s="12"/>
      <c r="ZK87" s="12"/>
      <c r="ZL87" s="12"/>
      <c r="ZM87" s="12"/>
      <c r="ZN87" s="12"/>
      <c r="ZO87" s="12"/>
      <c r="ZP87" s="12"/>
      <c r="ZQ87" s="12"/>
      <c r="ZR87" s="12"/>
      <c r="ZS87" s="12"/>
      <c r="ZT87" s="12"/>
      <c r="ZU87" s="12"/>
      <c r="ZV87" s="12"/>
      <c r="ZW87" s="12"/>
      <c r="ZX87" s="12"/>
      <c r="ZY87" s="12"/>
      <c r="ZZ87" s="12"/>
      <c r="AAA87" s="12"/>
      <c r="AAB87" s="12"/>
      <c r="AAC87" s="12"/>
      <c r="AAD87" s="12"/>
      <c r="AAE87" s="12"/>
      <c r="AAF87" s="12"/>
      <c r="AAG87" s="12"/>
      <c r="AAH87" s="12"/>
      <c r="AAI87" s="12"/>
      <c r="AAJ87" s="12"/>
      <c r="AAK87" s="12"/>
      <c r="AAL87" s="12"/>
      <c r="AAM87" s="12"/>
      <c r="AAN87" s="12"/>
      <c r="AAO87" s="12"/>
      <c r="AAP87" s="12"/>
      <c r="AAQ87" s="12"/>
      <c r="AAR87" s="12"/>
      <c r="AAS87" s="12"/>
      <c r="AAT87" s="12"/>
      <c r="AAU87" s="12"/>
      <c r="AAV87" s="12"/>
      <c r="AAW87" s="12"/>
      <c r="AAX87" s="12"/>
      <c r="AAY87" s="12"/>
      <c r="AAZ87" s="12"/>
      <c r="ABA87" s="12"/>
      <c r="ABB87" s="12"/>
      <c r="ABC87" s="12"/>
      <c r="ABD87" s="12"/>
      <c r="ABE87" s="12"/>
      <c r="ABF87" s="12"/>
      <c r="ABG87" s="12"/>
      <c r="ABH87" s="12"/>
      <c r="ABI87" s="12"/>
      <c r="ABJ87" s="12"/>
      <c r="ABK87" s="12"/>
      <c r="ABL87" s="12"/>
      <c r="ABM87" s="12"/>
      <c r="ABN87" s="12"/>
      <c r="ABO87" s="12"/>
      <c r="ABP87" s="12"/>
      <c r="ABQ87" s="12"/>
      <c r="ABR87" s="12"/>
      <c r="ABS87" s="12"/>
      <c r="ABT87" s="12"/>
      <c r="ABU87" s="12"/>
      <c r="ABV87" s="12"/>
      <c r="ABW87" s="12"/>
      <c r="ABX87" s="12"/>
      <c r="ABY87" s="12"/>
      <c r="ABZ87" s="12"/>
      <c r="ACA87" s="12"/>
      <c r="ACB87" s="12"/>
      <c r="ACC87" s="12"/>
      <c r="ACD87" s="12"/>
      <c r="ACE87" s="12"/>
      <c r="ACF87" s="12"/>
      <c r="ACG87" s="12"/>
      <c r="ACH87" s="12"/>
      <c r="ACI87" s="12"/>
      <c r="ACJ87" s="12"/>
      <c r="ACK87" s="12"/>
      <c r="ACL87" s="12"/>
      <c r="ACM87" s="12"/>
      <c r="ACN87" s="12"/>
      <c r="ACO87" s="12"/>
      <c r="ACP87" s="12"/>
      <c r="ACQ87" s="12"/>
      <c r="ACR87" s="12"/>
      <c r="ACS87" s="12"/>
      <c r="ACT87" s="12"/>
      <c r="ACU87" s="12"/>
      <c r="ACV87" s="12"/>
      <c r="ACW87" s="12"/>
      <c r="ACX87" s="12"/>
      <c r="ACY87" s="12"/>
      <c r="ACZ87" s="12"/>
      <c r="ADA87" s="12"/>
      <c r="ADB87" s="12"/>
      <c r="ADC87" s="12"/>
      <c r="ADD87" s="12"/>
      <c r="ADE87" s="12"/>
      <c r="ADF87" s="12"/>
      <c r="ADG87" s="12"/>
      <c r="ADH87" s="12"/>
      <c r="ADI87" s="12"/>
      <c r="ADJ87" s="12"/>
      <c r="ADK87" s="12"/>
      <c r="ADL87" s="12"/>
      <c r="ADM87" s="12"/>
      <c r="ADN87" s="12"/>
      <c r="ADO87" s="12"/>
      <c r="ADP87" s="12"/>
      <c r="ADQ87" s="12"/>
      <c r="ADR87" s="12"/>
      <c r="ADS87" s="12"/>
      <c r="ADT87" s="12"/>
      <c r="ADU87" s="12"/>
      <c r="ADV87" s="12"/>
      <c r="ADW87" s="12"/>
      <c r="ADX87" s="12"/>
      <c r="ADY87" s="12"/>
      <c r="ADZ87" s="12"/>
      <c r="AEA87" s="12"/>
      <c r="AEB87" s="12"/>
      <c r="AEC87" s="12"/>
      <c r="AED87" s="12"/>
      <c r="AEE87" s="12"/>
      <c r="AEF87" s="12"/>
      <c r="AEG87" s="12"/>
      <c r="AEH87" s="12"/>
      <c r="AEI87" s="12"/>
      <c r="AEJ87" s="12"/>
      <c r="AEK87" s="12"/>
      <c r="AEL87" s="12"/>
      <c r="AEM87" s="12"/>
      <c r="AEN87" s="12"/>
      <c r="AEO87" s="12"/>
      <c r="AEP87" s="12"/>
      <c r="AEQ87" s="12"/>
      <c r="AER87" s="12"/>
    </row>
    <row r="88" spans="1:824" s="2" customFormat="1" ht="24.95" hidden="1" customHeight="1" x14ac:dyDescent="0.25">
      <c r="A88" s="42"/>
      <c r="B88" s="40"/>
      <c r="C88" s="35"/>
      <c r="D88" s="40" t="s">
        <v>95</v>
      </c>
      <c r="E88" s="35"/>
      <c r="F88" s="35"/>
      <c r="G88" s="35"/>
      <c r="H88" s="49"/>
      <c r="I88" s="49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  <c r="ABK88" s="12"/>
      <c r="ABL88" s="12"/>
      <c r="ABM88" s="12"/>
      <c r="ABN88" s="12"/>
      <c r="ABO88" s="12"/>
      <c r="ABP88" s="12"/>
      <c r="ABQ88" s="12"/>
      <c r="ABR88" s="12"/>
      <c r="ABS88" s="12"/>
      <c r="ABT88" s="12"/>
      <c r="ABU88" s="12"/>
      <c r="ABV88" s="12"/>
      <c r="ABW88" s="12"/>
      <c r="ABX88" s="12"/>
      <c r="ABY88" s="12"/>
      <c r="ABZ88" s="12"/>
      <c r="ACA88" s="12"/>
      <c r="ACB88" s="12"/>
      <c r="ACC88" s="12"/>
      <c r="ACD88" s="12"/>
      <c r="ACE88" s="12"/>
      <c r="ACF88" s="12"/>
      <c r="ACG88" s="12"/>
      <c r="ACH88" s="12"/>
      <c r="ACI88" s="12"/>
      <c r="ACJ88" s="12"/>
      <c r="ACK88" s="12"/>
      <c r="ACL88" s="12"/>
      <c r="ACM88" s="12"/>
      <c r="ACN88" s="12"/>
      <c r="ACO88" s="12"/>
      <c r="ACP88" s="12"/>
      <c r="ACQ88" s="12"/>
      <c r="ACR88" s="12"/>
      <c r="ACS88" s="12"/>
      <c r="ACT88" s="12"/>
      <c r="ACU88" s="12"/>
      <c r="ACV88" s="12"/>
      <c r="ACW88" s="12"/>
      <c r="ACX88" s="12"/>
      <c r="ACY88" s="12"/>
      <c r="ACZ88" s="12"/>
      <c r="ADA88" s="12"/>
      <c r="ADB88" s="12"/>
      <c r="ADC88" s="12"/>
      <c r="ADD88" s="12"/>
      <c r="ADE88" s="12"/>
      <c r="ADF88" s="12"/>
      <c r="ADG88" s="12"/>
      <c r="ADH88" s="12"/>
      <c r="ADI88" s="12"/>
      <c r="ADJ88" s="12"/>
      <c r="ADK88" s="12"/>
      <c r="ADL88" s="12"/>
      <c r="ADM88" s="12"/>
      <c r="ADN88" s="12"/>
      <c r="ADO88" s="12"/>
      <c r="ADP88" s="12"/>
      <c r="ADQ88" s="12"/>
      <c r="ADR88" s="12"/>
      <c r="ADS88" s="12"/>
      <c r="ADT88" s="12"/>
      <c r="ADU88" s="12"/>
      <c r="ADV88" s="12"/>
      <c r="ADW88" s="12"/>
      <c r="ADX88" s="12"/>
      <c r="ADY88" s="12"/>
      <c r="ADZ88" s="12"/>
      <c r="AEA88" s="12"/>
      <c r="AEB88" s="12"/>
      <c r="AEC88" s="12"/>
      <c r="AED88" s="12"/>
      <c r="AEE88" s="12"/>
      <c r="AEF88" s="12"/>
      <c r="AEG88" s="12"/>
      <c r="AEH88" s="12"/>
      <c r="AEI88" s="12"/>
      <c r="AEJ88" s="12"/>
      <c r="AEK88" s="12"/>
      <c r="AEL88" s="12"/>
      <c r="AEM88" s="12"/>
      <c r="AEN88" s="12"/>
      <c r="AEO88" s="12"/>
      <c r="AEP88" s="12"/>
      <c r="AEQ88" s="12"/>
      <c r="AER88" s="12"/>
    </row>
    <row r="89" spans="1:824" s="2" customFormat="1" ht="24.95" hidden="1" customHeight="1" x14ac:dyDescent="0.25">
      <c r="A89" s="42"/>
      <c r="B89" s="40"/>
      <c r="C89" s="35"/>
      <c r="D89" s="40" t="s">
        <v>95</v>
      </c>
      <c r="E89" s="35"/>
      <c r="F89" s="35"/>
      <c r="G89" s="35"/>
      <c r="H89" s="49"/>
      <c r="I89" s="49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  <c r="SO89" s="12"/>
      <c r="SP89" s="12"/>
      <c r="SQ89" s="12"/>
      <c r="SR89" s="12"/>
      <c r="SS89" s="12"/>
      <c r="ST89" s="12"/>
      <c r="SU89" s="12"/>
      <c r="SV89" s="12"/>
      <c r="SW89" s="12"/>
      <c r="SX89" s="12"/>
      <c r="SY89" s="12"/>
      <c r="SZ89" s="12"/>
      <c r="TA89" s="12"/>
      <c r="TB89" s="12"/>
      <c r="TC89" s="12"/>
      <c r="TD89" s="12"/>
      <c r="TE89" s="12"/>
      <c r="TF89" s="12"/>
      <c r="TG89" s="12"/>
      <c r="TH89" s="12"/>
      <c r="TI89" s="12"/>
      <c r="TJ89" s="12"/>
      <c r="TK89" s="12"/>
      <c r="TL89" s="12"/>
      <c r="TM89" s="12"/>
      <c r="TN89" s="12"/>
      <c r="TO89" s="12"/>
      <c r="TP89" s="12"/>
      <c r="TQ89" s="12"/>
      <c r="TR89" s="12"/>
      <c r="TS89" s="12"/>
      <c r="TT89" s="12"/>
      <c r="TU89" s="12"/>
      <c r="TV89" s="12"/>
      <c r="TW89" s="12"/>
      <c r="TX89" s="12"/>
      <c r="TY89" s="12"/>
      <c r="TZ89" s="12"/>
      <c r="UA89" s="12"/>
      <c r="UB89" s="12"/>
      <c r="UC89" s="12"/>
      <c r="UD89" s="12"/>
      <c r="UE89" s="12"/>
      <c r="UF89" s="12"/>
      <c r="UG89" s="12"/>
      <c r="UH89" s="12"/>
      <c r="UI89" s="12"/>
      <c r="UJ89" s="12"/>
      <c r="UK89" s="12"/>
      <c r="UL89" s="12"/>
      <c r="UM89" s="12"/>
      <c r="UN89" s="12"/>
      <c r="UO89" s="12"/>
      <c r="UP89" s="12"/>
      <c r="UQ89" s="12"/>
      <c r="UR89" s="12"/>
      <c r="US89" s="12"/>
      <c r="UT89" s="12"/>
      <c r="UU89" s="12"/>
      <c r="UV89" s="12"/>
      <c r="UW89" s="12"/>
      <c r="UX89" s="12"/>
      <c r="UY89" s="12"/>
      <c r="UZ89" s="12"/>
      <c r="VA89" s="12"/>
      <c r="VB89" s="12"/>
      <c r="VC89" s="12"/>
      <c r="VD89" s="12"/>
      <c r="VE89" s="12"/>
      <c r="VF89" s="12"/>
      <c r="VG89" s="12"/>
      <c r="VH89" s="12"/>
      <c r="VI89" s="12"/>
      <c r="VJ89" s="12"/>
      <c r="VK89" s="12"/>
      <c r="VL89" s="12"/>
      <c r="VM89" s="12"/>
      <c r="VN89" s="12"/>
      <c r="VO89" s="12"/>
      <c r="VP89" s="12"/>
      <c r="VQ89" s="12"/>
      <c r="VR89" s="12"/>
      <c r="VS89" s="12"/>
      <c r="VT89" s="12"/>
      <c r="VU89" s="12"/>
      <c r="VV89" s="12"/>
      <c r="VW89" s="12"/>
      <c r="VX89" s="12"/>
      <c r="VY89" s="12"/>
      <c r="VZ89" s="12"/>
      <c r="WA89" s="12"/>
      <c r="WB89" s="12"/>
      <c r="WC89" s="12"/>
      <c r="WD89" s="12"/>
      <c r="WE89" s="12"/>
      <c r="WF89" s="12"/>
      <c r="WG89" s="12"/>
      <c r="WH89" s="12"/>
      <c r="WI89" s="12"/>
      <c r="WJ89" s="12"/>
      <c r="WK89" s="12"/>
      <c r="WL89" s="12"/>
      <c r="WM89" s="12"/>
      <c r="WN89" s="12"/>
      <c r="WO89" s="12"/>
      <c r="WP89" s="12"/>
      <c r="WQ89" s="12"/>
      <c r="WR89" s="12"/>
      <c r="WS89" s="12"/>
      <c r="WT89" s="12"/>
      <c r="WU89" s="12"/>
      <c r="WV89" s="12"/>
      <c r="WW89" s="12"/>
      <c r="WX89" s="12"/>
      <c r="WY89" s="12"/>
      <c r="WZ89" s="12"/>
      <c r="XA89" s="12"/>
      <c r="XB89" s="12"/>
      <c r="XC89" s="12"/>
      <c r="XD89" s="12"/>
      <c r="XE89" s="12"/>
      <c r="XF89" s="12"/>
      <c r="XG89" s="12"/>
      <c r="XH89" s="12"/>
      <c r="XI89" s="12"/>
      <c r="XJ89" s="12"/>
      <c r="XK89" s="12"/>
      <c r="XL89" s="12"/>
      <c r="XM89" s="12"/>
      <c r="XN89" s="12"/>
      <c r="XO89" s="12"/>
      <c r="XP89" s="12"/>
      <c r="XQ89" s="12"/>
      <c r="XR89" s="12"/>
      <c r="XS89" s="12"/>
      <c r="XT89" s="12"/>
      <c r="XU89" s="12"/>
      <c r="XV89" s="12"/>
      <c r="XW89" s="12"/>
      <c r="XX89" s="12"/>
      <c r="XY89" s="12"/>
      <c r="XZ89" s="12"/>
      <c r="YA89" s="12"/>
      <c r="YB89" s="12"/>
      <c r="YC89" s="12"/>
      <c r="YD89" s="12"/>
      <c r="YE89" s="12"/>
      <c r="YF89" s="12"/>
      <c r="YG89" s="12"/>
      <c r="YH89" s="12"/>
      <c r="YI89" s="12"/>
      <c r="YJ89" s="12"/>
      <c r="YK89" s="12"/>
      <c r="YL89" s="12"/>
      <c r="YM89" s="12"/>
      <c r="YN89" s="12"/>
      <c r="YO89" s="12"/>
      <c r="YP89" s="12"/>
      <c r="YQ89" s="12"/>
      <c r="YR89" s="12"/>
      <c r="YS89" s="12"/>
      <c r="YT89" s="12"/>
      <c r="YU89" s="12"/>
      <c r="YV89" s="12"/>
      <c r="YW89" s="12"/>
      <c r="YX89" s="12"/>
      <c r="YY89" s="12"/>
      <c r="YZ89" s="12"/>
      <c r="ZA89" s="12"/>
      <c r="ZB89" s="12"/>
      <c r="ZC89" s="12"/>
      <c r="ZD89" s="12"/>
      <c r="ZE89" s="12"/>
      <c r="ZF89" s="12"/>
      <c r="ZG89" s="12"/>
      <c r="ZH89" s="12"/>
      <c r="ZI89" s="12"/>
      <c r="ZJ89" s="12"/>
      <c r="ZK89" s="12"/>
      <c r="ZL89" s="12"/>
      <c r="ZM89" s="12"/>
      <c r="ZN89" s="12"/>
      <c r="ZO89" s="12"/>
      <c r="ZP89" s="12"/>
      <c r="ZQ89" s="12"/>
      <c r="ZR89" s="12"/>
      <c r="ZS89" s="12"/>
      <c r="ZT89" s="12"/>
      <c r="ZU89" s="12"/>
      <c r="ZV89" s="12"/>
      <c r="ZW89" s="12"/>
      <c r="ZX89" s="12"/>
      <c r="ZY89" s="12"/>
      <c r="ZZ89" s="12"/>
      <c r="AAA89" s="12"/>
      <c r="AAB89" s="12"/>
      <c r="AAC89" s="12"/>
      <c r="AAD89" s="12"/>
      <c r="AAE89" s="12"/>
      <c r="AAF89" s="12"/>
      <c r="AAG89" s="12"/>
      <c r="AAH89" s="12"/>
      <c r="AAI89" s="12"/>
      <c r="AAJ89" s="12"/>
      <c r="AAK89" s="12"/>
      <c r="AAL89" s="12"/>
      <c r="AAM89" s="12"/>
      <c r="AAN89" s="12"/>
      <c r="AAO89" s="12"/>
      <c r="AAP89" s="12"/>
      <c r="AAQ89" s="12"/>
      <c r="AAR89" s="12"/>
      <c r="AAS89" s="12"/>
      <c r="AAT89" s="12"/>
      <c r="AAU89" s="12"/>
      <c r="AAV89" s="12"/>
      <c r="AAW89" s="12"/>
      <c r="AAX89" s="12"/>
      <c r="AAY89" s="12"/>
      <c r="AAZ89" s="12"/>
      <c r="ABA89" s="12"/>
      <c r="ABB89" s="12"/>
      <c r="ABC89" s="12"/>
      <c r="ABD89" s="12"/>
      <c r="ABE89" s="12"/>
      <c r="ABF89" s="12"/>
      <c r="ABG89" s="12"/>
      <c r="ABH89" s="12"/>
      <c r="ABI89" s="12"/>
      <c r="ABJ89" s="12"/>
      <c r="ABK89" s="12"/>
      <c r="ABL89" s="12"/>
      <c r="ABM89" s="12"/>
      <c r="ABN89" s="12"/>
      <c r="ABO89" s="12"/>
      <c r="ABP89" s="12"/>
      <c r="ABQ89" s="12"/>
      <c r="ABR89" s="12"/>
      <c r="ABS89" s="12"/>
      <c r="ABT89" s="12"/>
      <c r="ABU89" s="12"/>
      <c r="ABV89" s="12"/>
      <c r="ABW89" s="12"/>
      <c r="ABX89" s="12"/>
      <c r="ABY89" s="12"/>
      <c r="ABZ89" s="12"/>
      <c r="ACA89" s="12"/>
      <c r="ACB89" s="12"/>
      <c r="ACC89" s="12"/>
      <c r="ACD89" s="12"/>
      <c r="ACE89" s="12"/>
      <c r="ACF89" s="12"/>
      <c r="ACG89" s="12"/>
      <c r="ACH89" s="12"/>
      <c r="ACI89" s="12"/>
      <c r="ACJ89" s="12"/>
      <c r="ACK89" s="12"/>
      <c r="ACL89" s="12"/>
      <c r="ACM89" s="12"/>
      <c r="ACN89" s="12"/>
      <c r="ACO89" s="12"/>
      <c r="ACP89" s="12"/>
      <c r="ACQ89" s="12"/>
      <c r="ACR89" s="12"/>
      <c r="ACS89" s="12"/>
      <c r="ACT89" s="12"/>
      <c r="ACU89" s="12"/>
      <c r="ACV89" s="12"/>
      <c r="ACW89" s="12"/>
      <c r="ACX89" s="12"/>
      <c r="ACY89" s="12"/>
      <c r="ACZ89" s="12"/>
      <c r="ADA89" s="12"/>
      <c r="ADB89" s="12"/>
      <c r="ADC89" s="12"/>
      <c r="ADD89" s="12"/>
      <c r="ADE89" s="12"/>
      <c r="ADF89" s="12"/>
      <c r="ADG89" s="12"/>
      <c r="ADH89" s="12"/>
      <c r="ADI89" s="12"/>
      <c r="ADJ89" s="12"/>
      <c r="ADK89" s="12"/>
      <c r="ADL89" s="12"/>
      <c r="ADM89" s="12"/>
      <c r="ADN89" s="12"/>
      <c r="ADO89" s="12"/>
      <c r="ADP89" s="12"/>
      <c r="ADQ89" s="12"/>
      <c r="ADR89" s="12"/>
      <c r="ADS89" s="12"/>
      <c r="ADT89" s="12"/>
      <c r="ADU89" s="12"/>
      <c r="ADV89" s="12"/>
      <c r="ADW89" s="12"/>
      <c r="ADX89" s="12"/>
      <c r="ADY89" s="12"/>
      <c r="ADZ89" s="12"/>
      <c r="AEA89" s="12"/>
      <c r="AEB89" s="12"/>
      <c r="AEC89" s="12"/>
      <c r="AED89" s="12"/>
      <c r="AEE89" s="12"/>
      <c r="AEF89" s="12"/>
      <c r="AEG89" s="12"/>
      <c r="AEH89" s="12"/>
      <c r="AEI89" s="12"/>
      <c r="AEJ89" s="12"/>
      <c r="AEK89" s="12"/>
      <c r="AEL89" s="12"/>
      <c r="AEM89" s="12"/>
      <c r="AEN89" s="12"/>
      <c r="AEO89" s="12"/>
      <c r="AEP89" s="12"/>
      <c r="AEQ89" s="12"/>
      <c r="AER89" s="12"/>
    </row>
    <row r="90" spans="1:824" s="2" customFormat="1" ht="24.95" hidden="1" customHeight="1" x14ac:dyDescent="0.25">
      <c r="A90" s="42"/>
      <c r="B90" s="40"/>
      <c r="C90" s="35"/>
      <c r="D90" s="40" t="s">
        <v>95</v>
      </c>
      <c r="E90" s="35"/>
      <c r="F90" s="35"/>
      <c r="G90" s="35"/>
      <c r="H90" s="49"/>
      <c r="I90" s="49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  <c r="SO90" s="12"/>
      <c r="SP90" s="12"/>
      <c r="SQ90" s="12"/>
      <c r="SR90" s="12"/>
      <c r="SS90" s="12"/>
      <c r="ST90" s="12"/>
      <c r="SU90" s="12"/>
      <c r="SV90" s="12"/>
      <c r="SW90" s="12"/>
      <c r="SX90" s="12"/>
      <c r="SY90" s="12"/>
      <c r="SZ90" s="12"/>
      <c r="TA90" s="12"/>
      <c r="TB90" s="12"/>
      <c r="TC90" s="12"/>
      <c r="TD90" s="12"/>
      <c r="TE90" s="12"/>
      <c r="TF90" s="12"/>
      <c r="TG90" s="12"/>
      <c r="TH90" s="12"/>
      <c r="TI90" s="12"/>
      <c r="TJ90" s="12"/>
      <c r="TK90" s="12"/>
      <c r="TL90" s="12"/>
      <c r="TM90" s="12"/>
      <c r="TN90" s="12"/>
      <c r="TO90" s="12"/>
      <c r="TP90" s="12"/>
      <c r="TQ90" s="12"/>
      <c r="TR90" s="12"/>
      <c r="TS90" s="12"/>
      <c r="TT90" s="12"/>
      <c r="TU90" s="12"/>
      <c r="TV90" s="12"/>
      <c r="TW90" s="12"/>
      <c r="TX90" s="12"/>
      <c r="TY90" s="12"/>
      <c r="TZ90" s="12"/>
      <c r="UA90" s="12"/>
      <c r="UB90" s="12"/>
      <c r="UC90" s="12"/>
      <c r="UD90" s="12"/>
      <c r="UE90" s="12"/>
      <c r="UF90" s="12"/>
      <c r="UG90" s="12"/>
      <c r="UH90" s="12"/>
      <c r="UI90" s="12"/>
      <c r="UJ90" s="12"/>
      <c r="UK90" s="12"/>
      <c r="UL90" s="12"/>
      <c r="UM90" s="12"/>
      <c r="UN90" s="12"/>
      <c r="UO90" s="12"/>
      <c r="UP90" s="12"/>
      <c r="UQ90" s="12"/>
      <c r="UR90" s="12"/>
      <c r="US90" s="12"/>
      <c r="UT90" s="12"/>
      <c r="UU90" s="12"/>
      <c r="UV90" s="12"/>
      <c r="UW90" s="12"/>
      <c r="UX90" s="12"/>
      <c r="UY90" s="12"/>
      <c r="UZ90" s="12"/>
      <c r="VA90" s="12"/>
      <c r="VB90" s="12"/>
      <c r="VC90" s="12"/>
      <c r="VD90" s="12"/>
      <c r="VE90" s="12"/>
      <c r="VF90" s="12"/>
      <c r="VG90" s="12"/>
      <c r="VH90" s="12"/>
      <c r="VI90" s="12"/>
      <c r="VJ90" s="12"/>
      <c r="VK90" s="12"/>
      <c r="VL90" s="12"/>
      <c r="VM90" s="12"/>
      <c r="VN90" s="12"/>
      <c r="VO90" s="12"/>
      <c r="VP90" s="12"/>
      <c r="VQ90" s="12"/>
      <c r="VR90" s="12"/>
      <c r="VS90" s="12"/>
      <c r="VT90" s="12"/>
      <c r="VU90" s="12"/>
      <c r="VV90" s="12"/>
      <c r="VW90" s="12"/>
      <c r="VX90" s="12"/>
      <c r="VY90" s="12"/>
      <c r="VZ90" s="12"/>
      <c r="WA90" s="12"/>
      <c r="WB90" s="12"/>
      <c r="WC90" s="12"/>
      <c r="WD90" s="12"/>
      <c r="WE90" s="12"/>
      <c r="WF90" s="12"/>
      <c r="WG90" s="12"/>
      <c r="WH90" s="12"/>
      <c r="WI90" s="12"/>
      <c r="WJ90" s="12"/>
      <c r="WK90" s="12"/>
      <c r="WL90" s="12"/>
      <c r="WM90" s="12"/>
      <c r="WN90" s="12"/>
      <c r="WO90" s="12"/>
      <c r="WP90" s="12"/>
      <c r="WQ90" s="12"/>
      <c r="WR90" s="12"/>
      <c r="WS90" s="12"/>
      <c r="WT90" s="12"/>
      <c r="WU90" s="12"/>
      <c r="WV90" s="12"/>
      <c r="WW90" s="12"/>
      <c r="WX90" s="12"/>
      <c r="WY90" s="12"/>
      <c r="WZ90" s="12"/>
      <c r="XA90" s="12"/>
      <c r="XB90" s="12"/>
      <c r="XC90" s="12"/>
      <c r="XD90" s="12"/>
      <c r="XE90" s="12"/>
      <c r="XF90" s="12"/>
      <c r="XG90" s="12"/>
      <c r="XH90" s="12"/>
      <c r="XI90" s="12"/>
      <c r="XJ90" s="12"/>
      <c r="XK90" s="12"/>
      <c r="XL90" s="12"/>
      <c r="XM90" s="12"/>
      <c r="XN90" s="12"/>
      <c r="XO90" s="12"/>
      <c r="XP90" s="12"/>
      <c r="XQ90" s="12"/>
      <c r="XR90" s="12"/>
      <c r="XS90" s="12"/>
      <c r="XT90" s="12"/>
      <c r="XU90" s="12"/>
      <c r="XV90" s="12"/>
      <c r="XW90" s="12"/>
      <c r="XX90" s="12"/>
      <c r="XY90" s="12"/>
      <c r="XZ90" s="12"/>
      <c r="YA90" s="12"/>
      <c r="YB90" s="12"/>
      <c r="YC90" s="12"/>
      <c r="YD90" s="12"/>
      <c r="YE90" s="12"/>
      <c r="YF90" s="12"/>
      <c r="YG90" s="12"/>
      <c r="YH90" s="12"/>
      <c r="YI90" s="12"/>
      <c r="YJ90" s="12"/>
      <c r="YK90" s="12"/>
      <c r="YL90" s="12"/>
      <c r="YM90" s="12"/>
      <c r="YN90" s="12"/>
      <c r="YO90" s="12"/>
      <c r="YP90" s="12"/>
      <c r="YQ90" s="12"/>
      <c r="YR90" s="12"/>
      <c r="YS90" s="12"/>
      <c r="YT90" s="12"/>
      <c r="YU90" s="12"/>
      <c r="YV90" s="12"/>
      <c r="YW90" s="12"/>
      <c r="YX90" s="12"/>
      <c r="YY90" s="12"/>
      <c r="YZ90" s="12"/>
      <c r="ZA90" s="12"/>
      <c r="ZB90" s="12"/>
      <c r="ZC90" s="12"/>
      <c r="ZD90" s="12"/>
      <c r="ZE90" s="12"/>
      <c r="ZF90" s="12"/>
      <c r="ZG90" s="12"/>
      <c r="ZH90" s="12"/>
      <c r="ZI90" s="12"/>
      <c r="ZJ90" s="12"/>
      <c r="ZK90" s="12"/>
      <c r="ZL90" s="12"/>
      <c r="ZM90" s="12"/>
      <c r="ZN90" s="12"/>
      <c r="ZO90" s="12"/>
      <c r="ZP90" s="12"/>
      <c r="ZQ90" s="12"/>
      <c r="ZR90" s="12"/>
      <c r="ZS90" s="12"/>
      <c r="ZT90" s="12"/>
      <c r="ZU90" s="12"/>
      <c r="ZV90" s="12"/>
      <c r="ZW90" s="12"/>
      <c r="ZX90" s="12"/>
      <c r="ZY90" s="12"/>
      <c r="ZZ90" s="12"/>
      <c r="AAA90" s="12"/>
      <c r="AAB90" s="12"/>
      <c r="AAC90" s="12"/>
      <c r="AAD90" s="12"/>
      <c r="AAE90" s="12"/>
      <c r="AAF90" s="12"/>
      <c r="AAG90" s="12"/>
      <c r="AAH90" s="12"/>
      <c r="AAI90" s="12"/>
      <c r="AAJ90" s="12"/>
      <c r="AAK90" s="12"/>
      <c r="AAL90" s="12"/>
      <c r="AAM90" s="12"/>
      <c r="AAN90" s="12"/>
      <c r="AAO90" s="12"/>
      <c r="AAP90" s="12"/>
      <c r="AAQ90" s="12"/>
      <c r="AAR90" s="12"/>
      <c r="AAS90" s="12"/>
      <c r="AAT90" s="12"/>
      <c r="AAU90" s="12"/>
      <c r="AAV90" s="12"/>
      <c r="AAW90" s="12"/>
      <c r="AAX90" s="12"/>
      <c r="AAY90" s="12"/>
      <c r="AAZ90" s="12"/>
      <c r="ABA90" s="12"/>
      <c r="ABB90" s="12"/>
      <c r="ABC90" s="12"/>
      <c r="ABD90" s="12"/>
      <c r="ABE90" s="12"/>
      <c r="ABF90" s="12"/>
      <c r="ABG90" s="12"/>
      <c r="ABH90" s="12"/>
      <c r="ABI90" s="12"/>
      <c r="ABJ90" s="12"/>
      <c r="ABK90" s="12"/>
      <c r="ABL90" s="12"/>
      <c r="ABM90" s="12"/>
      <c r="ABN90" s="12"/>
      <c r="ABO90" s="12"/>
      <c r="ABP90" s="12"/>
      <c r="ABQ90" s="12"/>
      <c r="ABR90" s="12"/>
      <c r="ABS90" s="12"/>
      <c r="ABT90" s="12"/>
      <c r="ABU90" s="12"/>
      <c r="ABV90" s="12"/>
      <c r="ABW90" s="12"/>
      <c r="ABX90" s="12"/>
      <c r="ABY90" s="12"/>
      <c r="ABZ90" s="12"/>
      <c r="ACA90" s="12"/>
      <c r="ACB90" s="12"/>
      <c r="ACC90" s="12"/>
      <c r="ACD90" s="12"/>
      <c r="ACE90" s="12"/>
      <c r="ACF90" s="12"/>
      <c r="ACG90" s="12"/>
      <c r="ACH90" s="12"/>
      <c r="ACI90" s="12"/>
      <c r="ACJ90" s="12"/>
      <c r="ACK90" s="12"/>
      <c r="ACL90" s="12"/>
      <c r="ACM90" s="12"/>
      <c r="ACN90" s="12"/>
      <c r="ACO90" s="12"/>
      <c r="ACP90" s="12"/>
      <c r="ACQ90" s="12"/>
      <c r="ACR90" s="12"/>
      <c r="ACS90" s="12"/>
      <c r="ACT90" s="12"/>
      <c r="ACU90" s="12"/>
      <c r="ACV90" s="12"/>
      <c r="ACW90" s="12"/>
      <c r="ACX90" s="12"/>
      <c r="ACY90" s="12"/>
      <c r="ACZ90" s="12"/>
      <c r="ADA90" s="12"/>
      <c r="ADB90" s="12"/>
      <c r="ADC90" s="12"/>
      <c r="ADD90" s="12"/>
      <c r="ADE90" s="12"/>
      <c r="ADF90" s="12"/>
      <c r="ADG90" s="12"/>
      <c r="ADH90" s="12"/>
      <c r="ADI90" s="12"/>
      <c r="ADJ90" s="12"/>
      <c r="ADK90" s="12"/>
      <c r="ADL90" s="12"/>
      <c r="ADM90" s="12"/>
      <c r="ADN90" s="12"/>
      <c r="ADO90" s="12"/>
      <c r="ADP90" s="12"/>
      <c r="ADQ90" s="12"/>
      <c r="ADR90" s="12"/>
      <c r="ADS90" s="12"/>
      <c r="ADT90" s="12"/>
      <c r="ADU90" s="12"/>
      <c r="ADV90" s="12"/>
      <c r="ADW90" s="12"/>
      <c r="ADX90" s="12"/>
      <c r="ADY90" s="12"/>
      <c r="ADZ90" s="12"/>
      <c r="AEA90" s="12"/>
      <c r="AEB90" s="12"/>
      <c r="AEC90" s="12"/>
      <c r="AED90" s="12"/>
      <c r="AEE90" s="12"/>
      <c r="AEF90" s="12"/>
      <c r="AEG90" s="12"/>
      <c r="AEH90" s="12"/>
      <c r="AEI90" s="12"/>
      <c r="AEJ90" s="12"/>
      <c r="AEK90" s="12"/>
      <c r="AEL90" s="12"/>
      <c r="AEM90" s="12"/>
      <c r="AEN90" s="12"/>
      <c r="AEO90" s="12"/>
      <c r="AEP90" s="12"/>
      <c r="AEQ90" s="12"/>
      <c r="AER90" s="12"/>
    </row>
    <row r="91" spans="1:824" s="2" customFormat="1" ht="24.95" hidden="1" customHeight="1" x14ac:dyDescent="0.25">
      <c r="A91" s="42"/>
      <c r="B91" s="40"/>
      <c r="C91" s="35"/>
      <c r="D91" s="40" t="s">
        <v>95</v>
      </c>
      <c r="E91" s="35"/>
      <c r="F91" s="35"/>
      <c r="G91" s="35"/>
      <c r="H91" s="49"/>
      <c r="I91" s="49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  <c r="KR91" s="12"/>
      <c r="KS91" s="12"/>
      <c r="KT91" s="12"/>
      <c r="KU91" s="12"/>
      <c r="KV91" s="12"/>
      <c r="KW91" s="12"/>
      <c r="KX91" s="12"/>
      <c r="KY91" s="12"/>
      <c r="KZ91" s="12"/>
      <c r="LA91" s="12"/>
      <c r="LB91" s="12"/>
      <c r="LC91" s="12"/>
      <c r="LD91" s="12"/>
      <c r="LE91" s="12"/>
      <c r="LF91" s="12"/>
      <c r="LG91" s="12"/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/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  <c r="NM91" s="12"/>
      <c r="NN91" s="12"/>
      <c r="NO91" s="12"/>
      <c r="NP91" s="12"/>
      <c r="NQ91" s="12"/>
      <c r="NR91" s="12"/>
      <c r="NS91" s="12"/>
      <c r="NT91" s="12"/>
      <c r="NU91" s="12"/>
      <c r="NV91" s="12"/>
      <c r="NW91" s="12"/>
      <c r="NX91" s="12"/>
      <c r="NY91" s="12"/>
      <c r="NZ91" s="12"/>
      <c r="OA91" s="12"/>
      <c r="OB91" s="12"/>
      <c r="OC91" s="12"/>
      <c r="OD91" s="12"/>
      <c r="OE91" s="12"/>
      <c r="OF91" s="12"/>
      <c r="OG91" s="12"/>
      <c r="OH91" s="12"/>
      <c r="OI91" s="12"/>
      <c r="OJ91" s="12"/>
      <c r="OK91" s="12"/>
      <c r="OL91" s="12"/>
      <c r="OM91" s="12"/>
      <c r="ON91" s="12"/>
      <c r="OO91" s="12"/>
      <c r="OP91" s="12"/>
      <c r="OQ91" s="12"/>
      <c r="OR91" s="12"/>
      <c r="OS91" s="12"/>
      <c r="OT91" s="12"/>
      <c r="OU91" s="12"/>
      <c r="OV91" s="12"/>
      <c r="OW91" s="12"/>
      <c r="OX91" s="12"/>
      <c r="OY91" s="12"/>
      <c r="OZ91" s="12"/>
      <c r="PA91" s="12"/>
      <c r="PB91" s="12"/>
      <c r="PC91" s="12"/>
      <c r="PD91" s="12"/>
      <c r="PE91" s="12"/>
      <c r="PF91" s="12"/>
      <c r="PG91" s="12"/>
      <c r="PH91" s="12"/>
      <c r="PI91" s="12"/>
      <c r="PJ91" s="12"/>
      <c r="PK91" s="12"/>
      <c r="PL91" s="12"/>
      <c r="PM91" s="12"/>
      <c r="PN91" s="12"/>
      <c r="PO91" s="12"/>
      <c r="PP91" s="12"/>
      <c r="PQ91" s="12"/>
      <c r="PR91" s="12"/>
      <c r="PS91" s="12"/>
      <c r="PT91" s="12"/>
      <c r="PU91" s="12"/>
      <c r="PV91" s="12"/>
      <c r="PW91" s="12"/>
      <c r="PX91" s="12"/>
      <c r="PY91" s="12"/>
      <c r="PZ91" s="12"/>
      <c r="QA91" s="12"/>
      <c r="QB91" s="12"/>
      <c r="QC91" s="12"/>
      <c r="QD91" s="12"/>
      <c r="QE91" s="12"/>
      <c r="QF91" s="12"/>
      <c r="QG91" s="12"/>
      <c r="QH91" s="12"/>
      <c r="QI91" s="12"/>
      <c r="QJ91" s="12"/>
      <c r="QK91" s="12"/>
      <c r="QL91" s="12"/>
      <c r="QM91" s="12"/>
      <c r="QN91" s="12"/>
      <c r="QO91" s="12"/>
      <c r="QP91" s="12"/>
      <c r="QQ91" s="12"/>
      <c r="QR91" s="12"/>
      <c r="QS91" s="12"/>
      <c r="QT91" s="12"/>
      <c r="QU91" s="12"/>
      <c r="QV91" s="12"/>
      <c r="QW91" s="12"/>
      <c r="QX91" s="12"/>
      <c r="QY91" s="12"/>
      <c r="QZ91" s="12"/>
      <c r="RA91" s="12"/>
      <c r="RB91" s="12"/>
      <c r="RC91" s="12"/>
      <c r="RD91" s="12"/>
      <c r="RE91" s="12"/>
      <c r="RF91" s="12"/>
      <c r="RG91" s="12"/>
      <c r="RH91" s="12"/>
      <c r="RI91" s="12"/>
      <c r="RJ91" s="12"/>
      <c r="RK91" s="12"/>
      <c r="RL91" s="12"/>
      <c r="RM91" s="12"/>
      <c r="RN91" s="12"/>
      <c r="RO91" s="12"/>
      <c r="RP91" s="12"/>
      <c r="RQ91" s="12"/>
      <c r="RR91" s="12"/>
      <c r="RS91" s="12"/>
      <c r="RT91" s="12"/>
      <c r="RU91" s="12"/>
      <c r="RV91" s="12"/>
      <c r="RW91" s="12"/>
      <c r="RX91" s="12"/>
      <c r="RY91" s="12"/>
      <c r="RZ91" s="12"/>
      <c r="SA91" s="12"/>
      <c r="SB91" s="12"/>
      <c r="SC91" s="12"/>
      <c r="SD91" s="12"/>
      <c r="SE91" s="12"/>
      <c r="SF91" s="12"/>
      <c r="SG91" s="12"/>
      <c r="SH91" s="12"/>
      <c r="SI91" s="12"/>
      <c r="SJ91" s="12"/>
      <c r="SK91" s="12"/>
      <c r="SL91" s="12"/>
      <c r="SM91" s="12"/>
      <c r="SN91" s="12"/>
      <c r="SO91" s="12"/>
      <c r="SP91" s="12"/>
      <c r="SQ91" s="12"/>
      <c r="SR91" s="12"/>
      <c r="SS91" s="12"/>
      <c r="ST91" s="12"/>
      <c r="SU91" s="12"/>
      <c r="SV91" s="12"/>
      <c r="SW91" s="12"/>
      <c r="SX91" s="12"/>
      <c r="SY91" s="12"/>
      <c r="SZ91" s="12"/>
      <c r="TA91" s="12"/>
      <c r="TB91" s="12"/>
      <c r="TC91" s="12"/>
      <c r="TD91" s="12"/>
      <c r="TE91" s="12"/>
      <c r="TF91" s="12"/>
      <c r="TG91" s="12"/>
      <c r="TH91" s="12"/>
      <c r="TI91" s="12"/>
      <c r="TJ91" s="12"/>
      <c r="TK91" s="12"/>
      <c r="TL91" s="12"/>
      <c r="TM91" s="12"/>
      <c r="TN91" s="12"/>
      <c r="TO91" s="12"/>
      <c r="TP91" s="12"/>
      <c r="TQ91" s="12"/>
      <c r="TR91" s="12"/>
      <c r="TS91" s="12"/>
      <c r="TT91" s="12"/>
      <c r="TU91" s="12"/>
      <c r="TV91" s="12"/>
      <c r="TW91" s="12"/>
      <c r="TX91" s="12"/>
      <c r="TY91" s="12"/>
      <c r="TZ91" s="12"/>
      <c r="UA91" s="12"/>
      <c r="UB91" s="12"/>
      <c r="UC91" s="12"/>
      <c r="UD91" s="12"/>
      <c r="UE91" s="12"/>
      <c r="UF91" s="12"/>
      <c r="UG91" s="12"/>
      <c r="UH91" s="12"/>
      <c r="UI91" s="12"/>
      <c r="UJ91" s="12"/>
      <c r="UK91" s="12"/>
      <c r="UL91" s="12"/>
      <c r="UM91" s="12"/>
      <c r="UN91" s="12"/>
      <c r="UO91" s="12"/>
      <c r="UP91" s="12"/>
      <c r="UQ91" s="12"/>
      <c r="UR91" s="12"/>
      <c r="US91" s="12"/>
      <c r="UT91" s="12"/>
      <c r="UU91" s="12"/>
      <c r="UV91" s="12"/>
      <c r="UW91" s="12"/>
      <c r="UX91" s="12"/>
      <c r="UY91" s="12"/>
      <c r="UZ91" s="12"/>
      <c r="VA91" s="12"/>
      <c r="VB91" s="12"/>
      <c r="VC91" s="12"/>
      <c r="VD91" s="12"/>
      <c r="VE91" s="12"/>
      <c r="VF91" s="12"/>
      <c r="VG91" s="12"/>
      <c r="VH91" s="12"/>
      <c r="VI91" s="12"/>
      <c r="VJ91" s="12"/>
      <c r="VK91" s="12"/>
      <c r="VL91" s="12"/>
      <c r="VM91" s="12"/>
      <c r="VN91" s="12"/>
      <c r="VO91" s="12"/>
      <c r="VP91" s="12"/>
      <c r="VQ91" s="12"/>
      <c r="VR91" s="12"/>
      <c r="VS91" s="12"/>
      <c r="VT91" s="12"/>
      <c r="VU91" s="12"/>
      <c r="VV91" s="12"/>
      <c r="VW91" s="12"/>
      <c r="VX91" s="12"/>
      <c r="VY91" s="12"/>
      <c r="VZ91" s="12"/>
      <c r="WA91" s="12"/>
      <c r="WB91" s="12"/>
      <c r="WC91" s="12"/>
      <c r="WD91" s="12"/>
      <c r="WE91" s="12"/>
      <c r="WF91" s="12"/>
      <c r="WG91" s="12"/>
      <c r="WH91" s="12"/>
      <c r="WI91" s="12"/>
      <c r="WJ91" s="12"/>
      <c r="WK91" s="12"/>
      <c r="WL91" s="12"/>
      <c r="WM91" s="12"/>
      <c r="WN91" s="12"/>
      <c r="WO91" s="12"/>
      <c r="WP91" s="12"/>
      <c r="WQ91" s="12"/>
      <c r="WR91" s="12"/>
      <c r="WS91" s="12"/>
      <c r="WT91" s="12"/>
      <c r="WU91" s="12"/>
      <c r="WV91" s="12"/>
      <c r="WW91" s="12"/>
      <c r="WX91" s="12"/>
      <c r="WY91" s="12"/>
      <c r="WZ91" s="12"/>
      <c r="XA91" s="12"/>
      <c r="XB91" s="12"/>
      <c r="XC91" s="12"/>
      <c r="XD91" s="12"/>
      <c r="XE91" s="12"/>
      <c r="XF91" s="12"/>
      <c r="XG91" s="12"/>
      <c r="XH91" s="12"/>
      <c r="XI91" s="12"/>
      <c r="XJ91" s="12"/>
      <c r="XK91" s="12"/>
      <c r="XL91" s="12"/>
      <c r="XM91" s="12"/>
      <c r="XN91" s="12"/>
      <c r="XO91" s="12"/>
      <c r="XP91" s="12"/>
      <c r="XQ91" s="12"/>
      <c r="XR91" s="12"/>
      <c r="XS91" s="12"/>
      <c r="XT91" s="12"/>
      <c r="XU91" s="12"/>
      <c r="XV91" s="12"/>
      <c r="XW91" s="12"/>
      <c r="XX91" s="12"/>
      <c r="XY91" s="12"/>
      <c r="XZ91" s="12"/>
      <c r="YA91" s="12"/>
      <c r="YB91" s="12"/>
      <c r="YC91" s="12"/>
      <c r="YD91" s="12"/>
      <c r="YE91" s="12"/>
      <c r="YF91" s="12"/>
      <c r="YG91" s="12"/>
      <c r="YH91" s="12"/>
      <c r="YI91" s="12"/>
      <c r="YJ91" s="12"/>
      <c r="YK91" s="12"/>
      <c r="YL91" s="12"/>
      <c r="YM91" s="12"/>
      <c r="YN91" s="12"/>
      <c r="YO91" s="12"/>
      <c r="YP91" s="12"/>
      <c r="YQ91" s="12"/>
      <c r="YR91" s="12"/>
      <c r="YS91" s="12"/>
      <c r="YT91" s="12"/>
      <c r="YU91" s="12"/>
      <c r="YV91" s="12"/>
      <c r="YW91" s="12"/>
      <c r="YX91" s="12"/>
      <c r="YY91" s="12"/>
      <c r="YZ91" s="12"/>
      <c r="ZA91" s="12"/>
      <c r="ZB91" s="12"/>
      <c r="ZC91" s="12"/>
      <c r="ZD91" s="12"/>
      <c r="ZE91" s="12"/>
      <c r="ZF91" s="12"/>
      <c r="ZG91" s="12"/>
      <c r="ZH91" s="12"/>
      <c r="ZI91" s="12"/>
      <c r="ZJ91" s="12"/>
      <c r="ZK91" s="12"/>
      <c r="ZL91" s="12"/>
      <c r="ZM91" s="12"/>
      <c r="ZN91" s="12"/>
      <c r="ZO91" s="12"/>
      <c r="ZP91" s="12"/>
      <c r="ZQ91" s="12"/>
      <c r="ZR91" s="12"/>
      <c r="ZS91" s="12"/>
      <c r="ZT91" s="12"/>
      <c r="ZU91" s="12"/>
      <c r="ZV91" s="12"/>
      <c r="ZW91" s="12"/>
      <c r="ZX91" s="12"/>
      <c r="ZY91" s="12"/>
      <c r="ZZ91" s="12"/>
      <c r="AAA91" s="12"/>
      <c r="AAB91" s="12"/>
      <c r="AAC91" s="12"/>
      <c r="AAD91" s="12"/>
      <c r="AAE91" s="12"/>
      <c r="AAF91" s="12"/>
      <c r="AAG91" s="12"/>
      <c r="AAH91" s="12"/>
      <c r="AAI91" s="12"/>
      <c r="AAJ91" s="12"/>
      <c r="AAK91" s="12"/>
      <c r="AAL91" s="12"/>
      <c r="AAM91" s="12"/>
      <c r="AAN91" s="12"/>
      <c r="AAO91" s="12"/>
      <c r="AAP91" s="12"/>
      <c r="AAQ91" s="12"/>
      <c r="AAR91" s="12"/>
      <c r="AAS91" s="12"/>
      <c r="AAT91" s="12"/>
      <c r="AAU91" s="12"/>
      <c r="AAV91" s="12"/>
      <c r="AAW91" s="12"/>
      <c r="AAX91" s="12"/>
      <c r="AAY91" s="12"/>
      <c r="AAZ91" s="12"/>
      <c r="ABA91" s="12"/>
      <c r="ABB91" s="12"/>
      <c r="ABC91" s="12"/>
      <c r="ABD91" s="12"/>
      <c r="ABE91" s="12"/>
      <c r="ABF91" s="12"/>
      <c r="ABG91" s="12"/>
      <c r="ABH91" s="12"/>
      <c r="ABI91" s="12"/>
      <c r="ABJ91" s="12"/>
      <c r="ABK91" s="12"/>
      <c r="ABL91" s="12"/>
      <c r="ABM91" s="12"/>
      <c r="ABN91" s="12"/>
      <c r="ABO91" s="12"/>
      <c r="ABP91" s="12"/>
      <c r="ABQ91" s="12"/>
      <c r="ABR91" s="12"/>
      <c r="ABS91" s="12"/>
      <c r="ABT91" s="12"/>
      <c r="ABU91" s="12"/>
      <c r="ABV91" s="12"/>
      <c r="ABW91" s="12"/>
      <c r="ABX91" s="12"/>
      <c r="ABY91" s="12"/>
      <c r="ABZ91" s="12"/>
      <c r="ACA91" s="12"/>
      <c r="ACB91" s="12"/>
      <c r="ACC91" s="12"/>
      <c r="ACD91" s="12"/>
      <c r="ACE91" s="12"/>
      <c r="ACF91" s="12"/>
      <c r="ACG91" s="12"/>
      <c r="ACH91" s="12"/>
      <c r="ACI91" s="12"/>
      <c r="ACJ91" s="12"/>
      <c r="ACK91" s="12"/>
      <c r="ACL91" s="12"/>
      <c r="ACM91" s="12"/>
      <c r="ACN91" s="12"/>
      <c r="ACO91" s="12"/>
      <c r="ACP91" s="12"/>
      <c r="ACQ91" s="12"/>
      <c r="ACR91" s="12"/>
      <c r="ACS91" s="12"/>
      <c r="ACT91" s="12"/>
      <c r="ACU91" s="12"/>
      <c r="ACV91" s="12"/>
      <c r="ACW91" s="12"/>
      <c r="ACX91" s="12"/>
      <c r="ACY91" s="12"/>
      <c r="ACZ91" s="12"/>
      <c r="ADA91" s="12"/>
      <c r="ADB91" s="12"/>
      <c r="ADC91" s="12"/>
      <c r="ADD91" s="12"/>
      <c r="ADE91" s="12"/>
      <c r="ADF91" s="12"/>
      <c r="ADG91" s="12"/>
      <c r="ADH91" s="12"/>
      <c r="ADI91" s="12"/>
      <c r="ADJ91" s="12"/>
      <c r="ADK91" s="12"/>
      <c r="ADL91" s="12"/>
      <c r="ADM91" s="12"/>
      <c r="ADN91" s="12"/>
      <c r="ADO91" s="12"/>
      <c r="ADP91" s="12"/>
      <c r="ADQ91" s="12"/>
      <c r="ADR91" s="12"/>
      <c r="ADS91" s="12"/>
      <c r="ADT91" s="12"/>
      <c r="ADU91" s="12"/>
      <c r="ADV91" s="12"/>
      <c r="ADW91" s="12"/>
      <c r="ADX91" s="12"/>
      <c r="ADY91" s="12"/>
      <c r="ADZ91" s="12"/>
      <c r="AEA91" s="12"/>
      <c r="AEB91" s="12"/>
      <c r="AEC91" s="12"/>
      <c r="AED91" s="12"/>
      <c r="AEE91" s="12"/>
      <c r="AEF91" s="12"/>
      <c r="AEG91" s="12"/>
      <c r="AEH91" s="12"/>
      <c r="AEI91" s="12"/>
      <c r="AEJ91" s="12"/>
      <c r="AEK91" s="12"/>
      <c r="AEL91" s="12"/>
      <c r="AEM91" s="12"/>
      <c r="AEN91" s="12"/>
      <c r="AEO91" s="12"/>
      <c r="AEP91" s="12"/>
      <c r="AEQ91" s="12"/>
      <c r="AER91" s="12"/>
    </row>
    <row r="92" spans="1:824" s="2" customFormat="1" ht="27.75" hidden="1" customHeight="1" x14ac:dyDescent="0.25">
      <c r="A92" s="42"/>
      <c r="B92" s="40"/>
      <c r="C92" s="35"/>
      <c r="D92" s="40" t="s">
        <v>95</v>
      </c>
      <c r="E92" s="35"/>
      <c r="F92" s="35"/>
      <c r="G92" s="35"/>
      <c r="H92" s="49"/>
      <c r="I92" s="49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  <c r="KR92" s="12"/>
      <c r="KS92" s="12"/>
      <c r="KT92" s="12"/>
      <c r="KU92" s="12"/>
      <c r="KV92" s="12"/>
      <c r="KW92" s="12"/>
      <c r="KX92" s="12"/>
      <c r="KY92" s="12"/>
      <c r="KZ92" s="12"/>
      <c r="LA92" s="12"/>
      <c r="LB92" s="12"/>
      <c r="LC92" s="12"/>
      <c r="LD92" s="12"/>
      <c r="LE92" s="12"/>
      <c r="LF92" s="12"/>
      <c r="LG92" s="12"/>
      <c r="LH92" s="12"/>
      <c r="LI92" s="12"/>
      <c r="LJ92" s="12"/>
      <c r="LK92" s="12"/>
      <c r="LL92" s="12"/>
      <c r="LM92" s="12"/>
      <c r="LN92" s="12"/>
      <c r="LO92" s="12"/>
      <c r="LP92" s="12"/>
      <c r="LQ92" s="12"/>
      <c r="LR92" s="12"/>
      <c r="LS92" s="12"/>
      <c r="LT92" s="12"/>
      <c r="LU92" s="12"/>
      <c r="LV92" s="12"/>
      <c r="LW92" s="12"/>
      <c r="LX92" s="12"/>
      <c r="LY92" s="12"/>
      <c r="LZ92" s="12"/>
      <c r="MA92" s="12"/>
      <c r="MB92" s="12"/>
      <c r="MC92" s="12"/>
      <c r="MD92" s="12"/>
      <c r="ME92" s="12"/>
      <c r="MF92" s="12"/>
      <c r="MG92" s="12"/>
      <c r="MH92" s="12"/>
      <c r="MI92" s="12"/>
      <c r="MJ92" s="12"/>
      <c r="MK92" s="12"/>
      <c r="ML92" s="12"/>
      <c r="MM92" s="12"/>
      <c r="MN92" s="12"/>
      <c r="MO92" s="12"/>
      <c r="MP92" s="12"/>
      <c r="MQ92" s="12"/>
      <c r="MR92" s="12"/>
      <c r="MS92" s="12"/>
      <c r="MT92" s="12"/>
      <c r="MU92" s="12"/>
      <c r="MV92" s="12"/>
      <c r="MW92" s="12"/>
      <c r="MX92" s="12"/>
      <c r="MY92" s="12"/>
      <c r="MZ92" s="12"/>
      <c r="NA92" s="12"/>
      <c r="NB92" s="12"/>
      <c r="NC92" s="12"/>
      <c r="ND92" s="12"/>
      <c r="NE92" s="12"/>
      <c r="NF92" s="12"/>
      <c r="NG92" s="12"/>
      <c r="NH92" s="12"/>
      <c r="NI92" s="12"/>
      <c r="NJ92" s="12"/>
      <c r="NK92" s="12"/>
      <c r="NL92" s="12"/>
      <c r="NM92" s="12"/>
      <c r="NN92" s="12"/>
      <c r="NO92" s="12"/>
      <c r="NP92" s="12"/>
      <c r="NQ92" s="12"/>
      <c r="NR92" s="12"/>
      <c r="NS92" s="12"/>
      <c r="NT92" s="12"/>
      <c r="NU92" s="12"/>
      <c r="NV92" s="12"/>
      <c r="NW92" s="12"/>
      <c r="NX92" s="12"/>
      <c r="NY92" s="12"/>
      <c r="NZ92" s="12"/>
      <c r="OA92" s="12"/>
      <c r="OB92" s="12"/>
      <c r="OC92" s="12"/>
      <c r="OD92" s="12"/>
      <c r="OE92" s="12"/>
      <c r="OF92" s="12"/>
      <c r="OG92" s="12"/>
      <c r="OH92" s="12"/>
      <c r="OI92" s="12"/>
      <c r="OJ92" s="12"/>
      <c r="OK92" s="12"/>
      <c r="OL92" s="12"/>
      <c r="OM92" s="12"/>
      <c r="ON92" s="12"/>
      <c r="OO92" s="12"/>
      <c r="OP92" s="12"/>
      <c r="OQ92" s="12"/>
      <c r="OR92" s="12"/>
      <c r="OS92" s="12"/>
      <c r="OT92" s="12"/>
      <c r="OU92" s="12"/>
      <c r="OV92" s="12"/>
      <c r="OW92" s="12"/>
      <c r="OX92" s="12"/>
      <c r="OY92" s="12"/>
      <c r="OZ92" s="12"/>
      <c r="PA92" s="12"/>
      <c r="PB92" s="12"/>
      <c r="PC92" s="12"/>
      <c r="PD92" s="12"/>
      <c r="PE92" s="12"/>
      <c r="PF92" s="12"/>
      <c r="PG92" s="12"/>
      <c r="PH92" s="12"/>
      <c r="PI92" s="12"/>
      <c r="PJ92" s="12"/>
      <c r="PK92" s="12"/>
      <c r="PL92" s="12"/>
      <c r="PM92" s="12"/>
      <c r="PN92" s="12"/>
      <c r="PO92" s="12"/>
      <c r="PP92" s="12"/>
      <c r="PQ92" s="12"/>
      <c r="PR92" s="12"/>
      <c r="PS92" s="12"/>
      <c r="PT92" s="12"/>
      <c r="PU92" s="12"/>
      <c r="PV92" s="12"/>
      <c r="PW92" s="12"/>
      <c r="PX92" s="12"/>
      <c r="PY92" s="12"/>
      <c r="PZ92" s="12"/>
      <c r="QA92" s="12"/>
      <c r="QB92" s="12"/>
      <c r="QC92" s="12"/>
      <c r="QD92" s="12"/>
      <c r="QE92" s="12"/>
      <c r="QF92" s="12"/>
      <c r="QG92" s="12"/>
      <c r="QH92" s="12"/>
      <c r="QI92" s="12"/>
      <c r="QJ92" s="12"/>
      <c r="QK92" s="12"/>
      <c r="QL92" s="12"/>
      <c r="QM92" s="12"/>
      <c r="QN92" s="12"/>
      <c r="QO92" s="12"/>
      <c r="QP92" s="12"/>
      <c r="QQ92" s="12"/>
      <c r="QR92" s="12"/>
      <c r="QS92" s="12"/>
      <c r="QT92" s="12"/>
      <c r="QU92" s="12"/>
      <c r="QV92" s="12"/>
      <c r="QW92" s="12"/>
      <c r="QX92" s="12"/>
      <c r="QY92" s="12"/>
      <c r="QZ92" s="12"/>
      <c r="RA92" s="12"/>
      <c r="RB92" s="12"/>
      <c r="RC92" s="12"/>
      <c r="RD92" s="12"/>
      <c r="RE92" s="12"/>
      <c r="RF92" s="12"/>
      <c r="RG92" s="12"/>
      <c r="RH92" s="12"/>
      <c r="RI92" s="12"/>
      <c r="RJ92" s="12"/>
      <c r="RK92" s="12"/>
      <c r="RL92" s="12"/>
      <c r="RM92" s="12"/>
      <c r="RN92" s="12"/>
      <c r="RO92" s="12"/>
      <c r="RP92" s="12"/>
      <c r="RQ92" s="12"/>
      <c r="RR92" s="12"/>
      <c r="RS92" s="12"/>
      <c r="RT92" s="12"/>
      <c r="RU92" s="12"/>
      <c r="RV92" s="12"/>
      <c r="RW92" s="12"/>
      <c r="RX92" s="12"/>
      <c r="RY92" s="12"/>
      <c r="RZ92" s="12"/>
      <c r="SA92" s="12"/>
      <c r="SB92" s="12"/>
      <c r="SC92" s="12"/>
      <c r="SD92" s="12"/>
      <c r="SE92" s="12"/>
      <c r="SF92" s="12"/>
      <c r="SG92" s="12"/>
      <c r="SH92" s="12"/>
      <c r="SI92" s="12"/>
      <c r="SJ92" s="12"/>
      <c r="SK92" s="12"/>
      <c r="SL92" s="12"/>
      <c r="SM92" s="12"/>
      <c r="SN92" s="12"/>
      <c r="SO92" s="12"/>
      <c r="SP92" s="12"/>
      <c r="SQ92" s="12"/>
      <c r="SR92" s="12"/>
      <c r="SS92" s="12"/>
      <c r="ST92" s="12"/>
      <c r="SU92" s="12"/>
      <c r="SV92" s="12"/>
      <c r="SW92" s="12"/>
      <c r="SX92" s="12"/>
      <c r="SY92" s="12"/>
      <c r="SZ92" s="12"/>
      <c r="TA92" s="12"/>
      <c r="TB92" s="12"/>
      <c r="TC92" s="12"/>
      <c r="TD92" s="12"/>
      <c r="TE92" s="12"/>
      <c r="TF92" s="12"/>
      <c r="TG92" s="12"/>
      <c r="TH92" s="12"/>
      <c r="TI92" s="12"/>
      <c r="TJ92" s="12"/>
      <c r="TK92" s="12"/>
      <c r="TL92" s="12"/>
      <c r="TM92" s="12"/>
      <c r="TN92" s="12"/>
      <c r="TO92" s="12"/>
      <c r="TP92" s="12"/>
      <c r="TQ92" s="12"/>
      <c r="TR92" s="12"/>
      <c r="TS92" s="12"/>
      <c r="TT92" s="12"/>
      <c r="TU92" s="12"/>
      <c r="TV92" s="12"/>
      <c r="TW92" s="12"/>
      <c r="TX92" s="12"/>
      <c r="TY92" s="12"/>
      <c r="TZ92" s="12"/>
      <c r="UA92" s="12"/>
      <c r="UB92" s="12"/>
      <c r="UC92" s="12"/>
      <c r="UD92" s="12"/>
      <c r="UE92" s="12"/>
      <c r="UF92" s="12"/>
      <c r="UG92" s="12"/>
      <c r="UH92" s="12"/>
      <c r="UI92" s="12"/>
      <c r="UJ92" s="12"/>
      <c r="UK92" s="12"/>
      <c r="UL92" s="12"/>
      <c r="UM92" s="12"/>
      <c r="UN92" s="12"/>
      <c r="UO92" s="12"/>
      <c r="UP92" s="12"/>
      <c r="UQ92" s="12"/>
      <c r="UR92" s="12"/>
      <c r="US92" s="12"/>
      <c r="UT92" s="12"/>
      <c r="UU92" s="12"/>
      <c r="UV92" s="12"/>
      <c r="UW92" s="12"/>
      <c r="UX92" s="12"/>
      <c r="UY92" s="12"/>
      <c r="UZ92" s="12"/>
      <c r="VA92" s="12"/>
      <c r="VB92" s="12"/>
      <c r="VC92" s="12"/>
      <c r="VD92" s="12"/>
      <c r="VE92" s="12"/>
      <c r="VF92" s="12"/>
      <c r="VG92" s="12"/>
      <c r="VH92" s="12"/>
      <c r="VI92" s="12"/>
      <c r="VJ92" s="12"/>
      <c r="VK92" s="12"/>
      <c r="VL92" s="12"/>
      <c r="VM92" s="12"/>
      <c r="VN92" s="12"/>
      <c r="VO92" s="12"/>
      <c r="VP92" s="12"/>
      <c r="VQ92" s="12"/>
      <c r="VR92" s="12"/>
      <c r="VS92" s="12"/>
      <c r="VT92" s="12"/>
      <c r="VU92" s="12"/>
      <c r="VV92" s="12"/>
      <c r="VW92" s="12"/>
      <c r="VX92" s="12"/>
      <c r="VY92" s="12"/>
      <c r="VZ92" s="12"/>
      <c r="WA92" s="12"/>
      <c r="WB92" s="12"/>
      <c r="WC92" s="12"/>
      <c r="WD92" s="12"/>
      <c r="WE92" s="12"/>
      <c r="WF92" s="12"/>
      <c r="WG92" s="12"/>
      <c r="WH92" s="12"/>
      <c r="WI92" s="12"/>
      <c r="WJ92" s="12"/>
      <c r="WK92" s="12"/>
      <c r="WL92" s="12"/>
      <c r="WM92" s="12"/>
      <c r="WN92" s="12"/>
      <c r="WO92" s="12"/>
      <c r="WP92" s="12"/>
      <c r="WQ92" s="12"/>
      <c r="WR92" s="12"/>
      <c r="WS92" s="12"/>
      <c r="WT92" s="12"/>
      <c r="WU92" s="12"/>
      <c r="WV92" s="12"/>
      <c r="WW92" s="12"/>
      <c r="WX92" s="12"/>
      <c r="WY92" s="12"/>
      <c r="WZ92" s="12"/>
      <c r="XA92" s="12"/>
      <c r="XB92" s="12"/>
      <c r="XC92" s="12"/>
      <c r="XD92" s="12"/>
      <c r="XE92" s="12"/>
      <c r="XF92" s="12"/>
      <c r="XG92" s="12"/>
      <c r="XH92" s="12"/>
      <c r="XI92" s="12"/>
      <c r="XJ92" s="12"/>
      <c r="XK92" s="12"/>
      <c r="XL92" s="12"/>
      <c r="XM92" s="12"/>
      <c r="XN92" s="12"/>
      <c r="XO92" s="12"/>
      <c r="XP92" s="12"/>
      <c r="XQ92" s="12"/>
      <c r="XR92" s="12"/>
      <c r="XS92" s="12"/>
      <c r="XT92" s="12"/>
      <c r="XU92" s="12"/>
      <c r="XV92" s="12"/>
      <c r="XW92" s="12"/>
      <c r="XX92" s="12"/>
      <c r="XY92" s="12"/>
      <c r="XZ92" s="12"/>
      <c r="YA92" s="12"/>
      <c r="YB92" s="12"/>
      <c r="YC92" s="12"/>
      <c r="YD92" s="12"/>
      <c r="YE92" s="12"/>
      <c r="YF92" s="12"/>
      <c r="YG92" s="12"/>
      <c r="YH92" s="12"/>
      <c r="YI92" s="12"/>
      <c r="YJ92" s="12"/>
      <c r="YK92" s="12"/>
      <c r="YL92" s="12"/>
      <c r="YM92" s="12"/>
      <c r="YN92" s="12"/>
      <c r="YO92" s="12"/>
      <c r="YP92" s="12"/>
      <c r="YQ92" s="12"/>
      <c r="YR92" s="12"/>
      <c r="YS92" s="12"/>
      <c r="YT92" s="12"/>
      <c r="YU92" s="12"/>
      <c r="YV92" s="12"/>
      <c r="YW92" s="12"/>
      <c r="YX92" s="12"/>
      <c r="YY92" s="12"/>
      <c r="YZ92" s="12"/>
      <c r="ZA92" s="12"/>
      <c r="ZB92" s="12"/>
      <c r="ZC92" s="12"/>
      <c r="ZD92" s="12"/>
      <c r="ZE92" s="12"/>
      <c r="ZF92" s="12"/>
      <c r="ZG92" s="12"/>
      <c r="ZH92" s="12"/>
      <c r="ZI92" s="12"/>
      <c r="ZJ92" s="12"/>
      <c r="ZK92" s="12"/>
      <c r="ZL92" s="12"/>
      <c r="ZM92" s="12"/>
      <c r="ZN92" s="12"/>
      <c r="ZO92" s="12"/>
      <c r="ZP92" s="12"/>
      <c r="ZQ92" s="12"/>
      <c r="ZR92" s="12"/>
      <c r="ZS92" s="12"/>
      <c r="ZT92" s="12"/>
      <c r="ZU92" s="12"/>
      <c r="ZV92" s="12"/>
      <c r="ZW92" s="12"/>
      <c r="ZX92" s="12"/>
      <c r="ZY92" s="12"/>
      <c r="ZZ92" s="12"/>
      <c r="AAA92" s="12"/>
      <c r="AAB92" s="12"/>
      <c r="AAC92" s="12"/>
      <c r="AAD92" s="12"/>
      <c r="AAE92" s="12"/>
      <c r="AAF92" s="12"/>
      <c r="AAG92" s="12"/>
      <c r="AAH92" s="12"/>
      <c r="AAI92" s="12"/>
      <c r="AAJ92" s="12"/>
      <c r="AAK92" s="12"/>
      <c r="AAL92" s="12"/>
      <c r="AAM92" s="12"/>
      <c r="AAN92" s="12"/>
      <c r="AAO92" s="12"/>
      <c r="AAP92" s="12"/>
      <c r="AAQ92" s="12"/>
      <c r="AAR92" s="12"/>
      <c r="AAS92" s="12"/>
      <c r="AAT92" s="12"/>
      <c r="AAU92" s="12"/>
      <c r="AAV92" s="12"/>
      <c r="AAW92" s="12"/>
      <c r="AAX92" s="12"/>
      <c r="AAY92" s="12"/>
      <c r="AAZ92" s="12"/>
      <c r="ABA92" s="12"/>
      <c r="ABB92" s="12"/>
      <c r="ABC92" s="12"/>
      <c r="ABD92" s="12"/>
      <c r="ABE92" s="12"/>
      <c r="ABF92" s="12"/>
      <c r="ABG92" s="12"/>
      <c r="ABH92" s="12"/>
      <c r="ABI92" s="12"/>
      <c r="ABJ92" s="12"/>
      <c r="ABK92" s="12"/>
      <c r="ABL92" s="12"/>
      <c r="ABM92" s="12"/>
      <c r="ABN92" s="12"/>
      <c r="ABO92" s="12"/>
      <c r="ABP92" s="12"/>
      <c r="ABQ92" s="12"/>
      <c r="ABR92" s="12"/>
      <c r="ABS92" s="12"/>
      <c r="ABT92" s="12"/>
      <c r="ABU92" s="12"/>
      <c r="ABV92" s="12"/>
      <c r="ABW92" s="12"/>
      <c r="ABX92" s="12"/>
      <c r="ABY92" s="12"/>
      <c r="ABZ92" s="12"/>
      <c r="ACA92" s="12"/>
      <c r="ACB92" s="12"/>
      <c r="ACC92" s="12"/>
      <c r="ACD92" s="12"/>
      <c r="ACE92" s="12"/>
      <c r="ACF92" s="12"/>
      <c r="ACG92" s="12"/>
      <c r="ACH92" s="12"/>
      <c r="ACI92" s="12"/>
      <c r="ACJ92" s="12"/>
      <c r="ACK92" s="12"/>
      <c r="ACL92" s="12"/>
      <c r="ACM92" s="12"/>
      <c r="ACN92" s="12"/>
      <c r="ACO92" s="12"/>
      <c r="ACP92" s="12"/>
      <c r="ACQ92" s="12"/>
      <c r="ACR92" s="12"/>
      <c r="ACS92" s="12"/>
      <c r="ACT92" s="12"/>
      <c r="ACU92" s="12"/>
      <c r="ACV92" s="12"/>
      <c r="ACW92" s="12"/>
      <c r="ACX92" s="12"/>
      <c r="ACY92" s="12"/>
      <c r="ACZ92" s="12"/>
      <c r="ADA92" s="12"/>
      <c r="ADB92" s="12"/>
      <c r="ADC92" s="12"/>
      <c r="ADD92" s="12"/>
      <c r="ADE92" s="12"/>
      <c r="ADF92" s="12"/>
      <c r="ADG92" s="12"/>
      <c r="ADH92" s="12"/>
      <c r="ADI92" s="12"/>
      <c r="ADJ92" s="12"/>
      <c r="ADK92" s="12"/>
      <c r="ADL92" s="12"/>
      <c r="ADM92" s="12"/>
      <c r="ADN92" s="12"/>
      <c r="ADO92" s="12"/>
      <c r="ADP92" s="12"/>
      <c r="ADQ92" s="12"/>
      <c r="ADR92" s="12"/>
      <c r="ADS92" s="12"/>
      <c r="ADT92" s="12"/>
      <c r="ADU92" s="12"/>
      <c r="ADV92" s="12"/>
      <c r="ADW92" s="12"/>
      <c r="ADX92" s="12"/>
      <c r="ADY92" s="12"/>
      <c r="ADZ92" s="12"/>
      <c r="AEA92" s="12"/>
      <c r="AEB92" s="12"/>
      <c r="AEC92" s="12"/>
      <c r="AED92" s="12"/>
      <c r="AEE92" s="12"/>
      <c r="AEF92" s="12"/>
      <c r="AEG92" s="12"/>
      <c r="AEH92" s="12"/>
      <c r="AEI92" s="12"/>
      <c r="AEJ92" s="12"/>
      <c r="AEK92" s="12"/>
      <c r="AEL92" s="12"/>
      <c r="AEM92" s="12"/>
      <c r="AEN92" s="12"/>
      <c r="AEO92" s="12"/>
      <c r="AEP92" s="12"/>
      <c r="AEQ92" s="12"/>
      <c r="AER92" s="12"/>
    </row>
    <row r="93" spans="1:824" s="41" customFormat="1" ht="67.5" customHeight="1" x14ac:dyDescent="0.25">
      <c r="A93" s="42">
        <v>52</v>
      </c>
      <c r="B93" s="63" t="s">
        <v>234</v>
      </c>
      <c r="C93" s="19">
        <v>3252000043</v>
      </c>
      <c r="D93" s="40" t="s">
        <v>95</v>
      </c>
      <c r="E93" s="35" t="s">
        <v>100</v>
      </c>
      <c r="F93" s="44" t="s">
        <v>75</v>
      </c>
      <c r="G93" s="35" t="s">
        <v>76</v>
      </c>
      <c r="H93" s="38">
        <v>11</v>
      </c>
      <c r="I93" s="39">
        <v>5</v>
      </c>
      <c r="J93" s="39">
        <f>2645347.68/1000</f>
        <v>2645.3476800000003</v>
      </c>
      <c r="K93" s="39">
        <v>3131</v>
      </c>
      <c r="L93" s="39">
        <v>2226.8000000000002</v>
      </c>
      <c r="M93" s="38">
        <v>3431</v>
      </c>
      <c r="N93" s="38">
        <f>13381.75/1000</f>
        <v>13.38175</v>
      </c>
      <c r="O93" s="38">
        <v>25</v>
      </c>
      <c r="P93" s="38">
        <v>22.6</v>
      </c>
      <c r="Q93" s="38">
        <v>25</v>
      </c>
      <c r="R93" s="38">
        <v>658.6</v>
      </c>
      <c r="S93" s="38">
        <f>1767/10000</f>
        <v>0.1767</v>
      </c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  <c r="SO93" s="12"/>
      <c r="SP93" s="12"/>
      <c r="SQ93" s="12"/>
      <c r="SR93" s="12"/>
      <c r="SS93" s="12"/>
      <c r="ST93" s="12"/>
      <c r="SU93" s="12"/>
      <c r="SV93" s="12"/>
      <c r="SW93" s="12"/>
      <c r="SX93" s="12"/>
      <c r="SY93" s="12"/>
      <c r="SZ93" s="12"/>
      <c r="TA93" s="12"/>
      <c r="TB93" s="12"/>
      <c r="TC93" s="12"/>
      <c r="TD93" s="12"/>
      <c r="TE93" s="12"/>
      <c r="TF93" s="12"/>
      <c r="TG93" s="12"/>
      <c r="TH93" s="12"/>
      <c r="TI93" s="12"/>
      <c r="TJ93" s="12"/>
      <c r="TK93" s="12"/>
      <c r="TL93" s="12"/>
      <c r="TM93" s="12"/>
      <c r="TN93" s="12"/>
      <c r="TO93" s="12"/>
      <c r="TP93" s="12"/>
      <c r="TQ93" s="12"/>
      <c r="TR93" s="12"/>
      <c r="TS93" s="12"/>
      <c r="TT93" s="12"/>
      <c r="TU93" s="12"/>
      <c r="TV93" s="12"/>
      <c r="TW93" s="12"/>
      <c r="TX93" s="12"/>
      <c r="TY93" s="12"/>
      <c r="TZ93" s="12"/>
      <c r="UA93" s="12"/>
      <c r="UB93" s="12"/>
      <c r="UC93" s="12"/>
      <c r="UD93" s="12"/>
      <c r="UE93" s="12"/>
      <c r="UF93" s="12"/>
      <c r="UG93" s="12"/>
      <c r="UH93" s="12"/>
      <c r="UI93" s="12"/>
      <c r="UJ93" s="12"/>
      <c r="UK93" s="12"/>
      <c r="UL93" s="12"/>
      <c r="UM93" s="12"/>
      <c r="UN93" s="12"/>
      <c r="UO93" s="12"/>
      <c r="UP93" s="12"/>
      <c r="UQ93" s="12"/>
      <c r="UR93" s="12"/>
      <c r="US93" s="12"/>
      <c r="UT93" s="12"/>
      <c r="UU93" s="12"/>
      <c r="UV93" s="12"/>
      <c r="UW93" s="12"/>
      <c r="UX93" s="12"/>
      <c r="UY93" s="12"/>
      <c r="UZ93" s="12"/>
      <c r="VA93" s="12"/>
      <c r="VB93" s="12"/>
      <c r="VC93" s="12"/>
      <c r="VD93" s="12"/>
      <c r="VE93" s="12"/>
      <c r="VF93" s="12"/>
      <c r="VG93" s="12"/>
      <c r="VH93" s="12"/>
      <c r="VI93" s="12"/>
      <c r="VJ93" s="12"/>
      <c r="VK93" s="12"/>
      <c r="VL93" s="12"/>
      <c r="VM93" s="12"/>
      <c r="VN93" s="12"/>
      <c r="VO93" s="12"/>
      <c r="VP93" s="12"/>
      <c r="VQ93" s="12"/>
      <c r="VR93" s="12"/>
      <c r="VS93" s="12"/>
      <c r="VT93" s="12"/>
      <c r="VU93" s="12"/>
      <c r="VV93" s="12"/>
      <c r="VW93" s="12"/>
      <c r="VX93" s="12"/>
      <c r="VY93" s="12"/>
      <c r="VZ93" s="12"/>
      <c r="WA93" s="12"/>
      <c r="WB93" s="12"/>
      <c r="WC93" s="12"/>
      <c r="WD93" s="12"/>
      <c r="WE93" s="12"/>
      <c r="WF93" s="12"/>
      <c r="WG93" s="12"/>
      <c r="WH93" s="12"/>
      <c r="WI93" s="12"/>
      <c r="WJ93" s="12"/>
      <c r="WK93" s="12"/>
      <c r="WL93" s="12"/>
      <c r="WM93" s="12"/>
      <c r="WN93" s="12"/>
      <c r="WO93" s="12"/>
      <c r="WP93" s="12"/>
      <c r="WQ93" s="12"/>
      <c r="WR93" s="12"/>
      <c r="WS93" s="12"/>
      <c r="WT93" s="12"/>
      <c r="WU93" s="12"/>
      <c r="WV93" s="12"/>
      <c r="WW93" s="12"/>
      <c r="WX93" s="12"/>
      <c r="WY93" s="12"/>
      <c r="WZ93" s="12"/>
      <c r="XA93" s="12"/>
      <c r="XB93" s="12"/>
      <c r="XC93" s="12"/>
      <c r="XD93" s="12"/>
      <c r="XE93" s="12"/>
      <c r="XF93" s="12"/>
      <c r="XG93" s="12"/>
      <c r="XH93" s="12"/>
      <c r="XI93" s="12"/>
      <c r="XJ93" s="12"/>
      <c r="XK93" s="12"/>
      <c r="XL93" s="12"/>
      <c r="XM93" s="12"/>
      <c r="XN93" s="12"/>
      <c r="XO93" s="12"/>
      <c r="XP93" s="12"/>
      <c r="XQ93" s="12"/>
      <c r="XR93" s="12"/>
      <c r="XS93" s="12"/>
      <c r="XT93" s="12"/>
      <c r="XU93" s="12"/>
      <c r="XV93" s="12"/>
      <c r="XW93" s="12"/>
      <c r="XX93" s="12"/>
      <c r="XY93" s="12"/>
      <c r="XZ93" s="12"/>
      <c r="YA93" s="12"/>
      <c r="YB93" s="12"/>
      <c r="YC93" s="12"/>
      <c r="YD93" s="12"/>
      <c r="YE93" s="12"/>
      <c r="YF93" s="12"/>
      <c r="YG93" s="12"/>
      <c r="YH93" s="12"/>
      <c r="YI93" s="12"/>
      <c r="YJ93" s="12"/>
      <c r="YK93" s="12"/>
      <c r="YL93" s="12"/>
      <c r="YM93" s="12"/>
      <c r="YN93" s="12"/>
      <c r="YO93" s="12"/>
      <c r="YP93" s="12"/>
      <c r="YQ93" s="12"/>
      <c r="YR93" s="12"/>
      <c r="YS93" s="12"/>
      <c r="YT93" s="12"/>
      <c r="YU93" s="12"/>
      <c r="YV93" s="12"/>
      <c r="YW93" s="12"/>
      <c r="YX93" s="12"/>
      <c r="YY93" s="12"/>
      <c r="YZ93" s="12"/>
      <c r="ZA93" s="12"/>
      <c r="ZB93" s="12"/>
      <c r="ZC93" s="12"/>
      <c r="ZD93" s="12"/>
      <c r="ZE93" s="12"/>
      <c r="ZF93" s="12"/>
      <c r="ZG93" s="12"/>
      <c r="ZH93" s="12"/>
      <c r="ZI93" s="12"/>
      <c r="ZJ93" s="12"/>
      <c r="ZK93" s="12"/>
      <c r="ZL93" s="12"/>
      <c r="ZM93" s="12"/>
      <c r="ZN93" s="12"/>
      <c r="ZO93" s="12"/>
      <c r="ZP93" s="12"/>
      <c r="ZQ93" s="12"/>
      <c r="ZR93" s="12"/>
      <c r="ZS93" s="12"/>
      <c r="ZT93" s="12"/>
      <c r="ZU93" s="12"/>
      <c r="ZV93" s="12"/>
      <c r="ZW93" s="12"/>
      <c r="ZX93" s="12"/>
      <c r="ZY93" s="12"/>
      <c r="ZZ93" s="12"/>
      <c r="AAA93" s="12"/>
      <c r="AAB93" s="12"/>
      <c r="AAC93" s="12"/>
      <c r="AAD93" s="12"/>
      <c r="AAE93" s="12"/>
      <c r="AAF93" s="12"/>
      <c r="AAG93" s="12"/>
      <c r="AAH93" s="12"/>
      <c r="AAI93" s="12"/>
      <c r="AAJ93" s="12"/>
      <c r="AAK93" s="12"/>
      <c r="AAL93" s="12"/>
      <c r="AAM93" s="12"/>
      <c r="AAN93" s="12"/>
      <c r="AAO93" s="12"/>
      <c r="AAP93" s="12"/>
      <c r="AAQ93" s="12"/>
      <c r="AAR93" s="12"/>
      <c r="AAS93" s="12"/>
      <c r="AAT93" s="12"/>
      <c r="AAU93" s="12"/>
      <c r="AAV93" s="12"/>
      <c r="AAW93" s="12"/>
      <c r="AAX93" s="12"/>
      <c r="AAY93" s="12"/>
      <c r="AAZ93" s="12"/>
      <c r="ABA93" s="12"/>
      <c r="ABB93" s="12"/>
      <c r="ABC93" s="12"/>
      <c r="ABD93" s="12"/>
      <c r="ABE93" s="12"/>
      <c r="ABF93" s="12"/>
      <c r="ABG93" s="12"/>
      <c r="ABH93" s="12"/>
      <c r="ABI93" s="12"/>
      <c r="ABJ93" s="12"/>
      <c r="ABK93" s="12"/>
      <c r="ABL93" s="12"/>
      <c r="ABM93" s="12"/>
      <c r="ABN93" s="12"/>
      <c r="ABO93" s="12"/>
      <c r="ABP93" s="12"/>
      <c r="ABQ93" s="12"/>
      <c r="ABR93" s="12"/>
      <c r="ABS93" s="12"/>
      <c r="ABT93" s="12"/>
      <c r="ABU93" s="12"/>
      <c r="ABV93" s="12"/>
      <c r="ABW93" s="12"/>
      <c r="ABX93" s="12"/>
      <c r="ABY93" s="12"/>
      <c r="ABZ93" s="12"/>
      <c r="ACA93" s="12"/>
      <c r="ACB93" s="12"/>
      <c r="ACC93" s="12"/>
      <c r="ACD93" s="12"/>
      <c r="ACE93" s="12"/>
      <c r="ACF93" s="12"/>
      <c r="ACG93" s="12"/>
      <c r="ACH93" s="12"/>
      <c r="ACI93" s="12"/>
      <c r="ACJ93" s="12"/>
      <c r="ACK93" s="12"/>
      <c r="ACL93" s="12"/>
      <c r="ACM93" s="12"/>
      <c r="ACN93" s="12"/>
      <c r="ACO93" s="12"/>
      <c r="ACP93" s="12"/>
      <c r="ACQ93" s="12"/>
      <c r="ACR93" s="12"/>
      <c r="ACS93" s="12"/>
      <c r="ACT93" s="12"/>
      <c r="ACU93" s="12"/>
      <c r="ACV93" s="12"/>
      <c r="ACW93" s="12"/>
      <c r="ACX93" s="12"/>
      <c r="ACY93" s="12"/>
      <c r="ACZ93" s="12"/>
      <c r="ADA93" s="12"/>
      <c r="ADB93" s="12"/>
      <c r="ADC93" s="12"/>
      <c r="ADD93" s="12"/>
      <c r="ADE93" s="12"/>
      <c r="ADF93" s="12"/>
      <c r="ADG93" s="12"/>
      <c r="ADH93" s="12"/>
      <c r="ADI93" s="12"/>
      <c r="ADJ93" s="12"/>
      <c r="ADK93" s="12"/>
      <c r="ADL93" s="12"/>
      <c r="ADM93" s="12"/>
      <c r="ADN93" s="12"/>
      <c r="ADO93" s="12"/>
      <c r="ADP93" s="12"/>
      <c r="ADQ93" s="12"/>
      <c r="ADR93" s="12"/>
      <c r="ADS93" s="12"/>
      <c r="ADT93" s="12"/>
      <c r="ADU93" s="12"/>
      <c r="ADV93" s="12"/>
      <c r="ADW93" s="12"/>
      <c r="ADX93" s="12"/>
      <c r="ADY93" s="12"/>
      <c r="ADZ93" s="12"/>
      <c r="AEA93" s="12"/>
      <c r="AEB93" s="12"/>
      <c r="AEC93" s="12"/>
      <c r="AED93" s="12"/>
      <c r="AEE93" s="12"/>
      <c r="AEF93" s="12"/>
      <c r="AEG93" s="12"/>
      <c r="AEH93" s="12"/>
      <c r="AEI93" s="12"/>
      <c r="AEJ93" s="12"/>
      <c r="AEK93" s="12"/>
      <c r="AEL93" s="12"/>
      <c r="AEM93" s="12"/>
      <c r="AEN93" s="12"/>
      <c r="AEO93" s="12"/>
      <c r="AEP93" s="12"/>
      <c r="AEQ93" s="12"/>
      <c r="AER93" s="12"/>
    </row>
    <row r="94" spans="1:824" s="41" customFormat="1" ht="77.25" customHeight="1" x14ac:dyDescent="0.25">
      <c r="A94" s="42">
        <v>53</v>
      </c>
      <c r="B94" s="64" t="s">
        <v>235</v>
      </c>
      <c r="C94" s="19">
        <v>3223005142</v>
      </c>
      <c r="D94" s="40" t="s">
        <v>95</v>
      </c>
      <c r="E94" s="35" t="s">
        <v>101</v>
      </c>
      <c r="F94" s="44" t="s">
        <v>75</v>
      </c>
      <c r="G94" s="35" t="s">
        <v>76</v>
      </c>
      <c r="H94" s="38">
        <v>24</v>
      </c>
      <c r="I94" s="38">
        <v>10</v>
      </c>
      <c r="J94" s="38">
        <f>6214411.24/1000</f>
        <v>6214.4112400000004</v>
      </c>
      <c r="K94" s="38">
        <v>6534.6</v>
      </c>
      <c r="L94" s="38">
        <v>6527</v>
      </c>
      <c r="M94" s="38">
        <v>6835.6</v>
      </c>
      <c r="N94" s="38">
        <f>375814/1000</f>
        <v>375.81400000000002</v>
      </c>
      <c r="O94" s="38">
        <v>375.8</v>
      </c>
      <c r="P94" s="38">
        <v>491.7</v>
      </c>
      <c r="Q94" s="38">
        <v>375.8</v>
      </c>
      <c r="R94" s="38">
        <v>2014.6</v>
      </c>
      <c r="S94" s="38">
        <f>1927/10000</f>
        <v>0.19270000000000001</v>
      </c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  <c r="KH94" s="12"/>
      <c r="KI94" s="12"/>
      <c r="KJ94" s="12"/>
      <c r="KK94" s="12"/>
      <c r="KL94" s="12"/>
      <c r="KM94" s="12"/>
      <c r="KN94" s="12"/>
      <c r="KO94" s="12"/>
      <c r="KP94" s="12"/>
      <c r="KQ94" s="12"/>
      <c r="KR94" s="12"/>
      <c r="KS94" s="12"/>
      <c r="KT94" s="12"/>
      <c r="KU94" s="12"/>
      <c r="KV94" s="12"/>
      <c r="KW94" s="12"/>
      <c r="KX94" s="12"/>
      <c r="KY94" s="12"/>
      <c r="KZ94" s="12"/>
      <c r="LA94" s="12"/>
      <c r="LB94" s="12"/>
      <c r="LC94" s="12"/>
      <c r="LD94" s="12"/>
      <c r="LE94" s="12"/>
      <c r="LF94" s="12"/>
      <c r="LG94" s="12"/>
      <c r="LH94" s="12"/>
      <c r="LI94" s="12"/>
      <c r="LJ94" s="12"/>
      <c r="LK94" s="12"/>
      <c r="LL94" s="12"/>
      <c r="LM94" s="12"/>
      <c r="LN94" s="12"/>
      <c r="LO94" s="12"/>
      <c r="LP94" s="12"/>
      <c r="LQ94" s="12"/>
      <c r="LR94" s="12"/>
      <c r="LS94" s="12"/>
      <c r="LT94" s="12"/>
      <c r="LU94" s="12"/>
      <c r="LV94" s="12"/>
      <c r="LW94" s="12"/>
      <c r="LX94" s="12"/>
      <c r="LY94" s="12"/>
      <c r="LZ94" s="12"/>
      <c r="MA94" s="12"/>
      <c r="MB94" s="12"/>
      <c r="MC94" s="12"/>
      <c r="MD94" s="12"/>
      <c r="ME94" s="12"/>
      <c r="MF94" s="12"/>
      <c r="MG94" s="12"/>
      <c r="MH94" s="12"/>
      <c r="MI94" s="12"/>
      <c r="MJ94" s="12"/>
      <c r="MK94" s="12"/>
      <c r="ML94" s="12"/>
      <c r="MM94" s="12"/>
      <c r="MN94" s="12"/>
      <c r="MO94" s="12"/>
      <c r="MP94" s="12"/>
      <c r="MQ94" s="12"/>
      <c r="MR94" s="12"/>
      <c r="MS94" s="12"/>
      <c r="MT94" s="12"/>
      <c r="MU94" s="12"/>
      <c r="MV94" s="12"/>
      <c r="MW94" s="12"/>
      <c r="MX94" s="12"/>
      <c r="MY94" s="12"/>
      <c r="MZ94" s="12"/>
      <c r="NA94" s="12"/>
      <c r="NB94" s="12"/>
      <c r="NC94" s="12"/>
      <c r="ND94" s="12"/>
      <c r="NE94" s="12"/>
      <c r="NF94" s="12"/>
      <c r="NG94" s="12"/>
      <c r="NH94" s="12"/>
      <c r="NI94" s="12"/>
      <c r="NJ94" s="12"/>
      <c r="NK94" s="12"/>
      <c r="NL94" s="12"/>
      <c r="NM94" s="12"/>
      <c r="NN94" s="12"/>
      <c r="NO94" s="12"/>
      <c r="NP94" s="12"/>
      <c r="NQ94" s="12"/>
      <c r="NR94" s="12"/>
      <c r="NS94" s="12"/>
      <c r="NT94" s="12"/>
      <c r="NU94" s="12"/>
      <c r="NV94" s="12"/>
      <c r="NW94" s="12"/>
      <c r="NX94" s="12"/>
      <c r="NY94" s="12"/>
      <c r="NZ94" s="12"/>
      <c r="OA94" s="12"/>
      <c r="OB94" s="12"/>
      <c r="OC94" s="12"/>
      <c r="OD94" s="12"/>
      <c r="OE94" s="12"/>
      <c r="OF94" s="12"/>
      <c r="OG94" s="12"/>
      <c r="OH94" s="12"/>
      <c r="OI94" s="12"/>
      <c r="OJ94" s="12"/>
      <c r="OK94" s="12"/>
      <c r="OL94" s="12"/>
      <c r="OM94" s="12"/>
      <c r="ON94" s="12"/>
      <c r="OO94" s="12"/>
      <c r="OP94" s="12"/>
      <c r="OQ94" s="12"/>
      <c r="OR94" s="12"/>
      <c r="OS94" s="12"/>
      <c r="OT94" s="12"/>
      <c r="OU94" s="12"/>
      <c r="OV94" s="12"/>
      <c r="OW94" s="12"/>
      <c r="OX94" s="12"/>
      <c r="OY94" s="12"/>
      <c r="OZ94" s="12"/>
      <c r="PA94" s="12"/>
      <c r="PB94" s="12"/>
      <c r="PC94" s="12"/>
      <c r="PD94" s="12"/>
      <c r="PE94" s="12"/>
      <c r="PF94" s="12"/>
      <c r="PG94" s="12"/>
      <c r="PH94" s="12"/>
      <c r="PI94" s="12"/>
      <c r="PJ94" s="12"/>
      <c r="PK94" s="12"/>
      <c r="PL94" s="12"/>
      <c r="PM94" s="12"/>
      <c r="PN94" s="12"/>
      <c r="PO94" s="12"/>
      <c r="PP94" s="12"/>
      <c r="PQ94" s="12"/>
      <c r="PR94" s="12"/>
      <c r="PS94" s="12"/>
      <c r="PT94" s="12"/>
      <c r="PU94" s="12"/>
      <c r="PV94" s="12"/>
      <c r="PW94" s="12"/>
      <c r="PX94" s="12"/>
      <c r="PY94" s="12"/>
      <c r="PZ94" s="12"/>
      <c r="QA94" s="12"/>
      <c r="QB94" s="12"/>
      <c r="QC94" s="12"/>
      <c r="QD94" s="12"/>
      <c r="QE94" s="12"/>
      <c r="QF94" s="12"/>
      <c r="QG94" s="12"/>
      <c r="QH94" s="12"/>
      <c r="QI94" s="12"/>
      <c r="QJ94" s="12"/>
      <c r="QK94" s="12"/>
      <c r="QL94" s="12"/>
      <c r="QM94" s="12"/>
      <c r="QN94" s="12"/>
      <c r="QO94" s="12"/>
      <c r="QP94" s="12"/>
      <c r="QQ94" s="12"/>
      <c r="QR94" s="12"/>
      <c r="QS94" s="12"/>
      <c r="QT94" s="12"/>
      <c r="QU94" s="12"/>
      <c r="QV94" s="12"/>
      <c r="QW94" s="12"/>
      <c r="QX94" s="12"/>
      <c r="QY94" s="12"/>
      <c r="QZ94" s="12"/>
      <c r="RA94" s="12"/>
      <c r="RB94" s="12"/>
      <c r="RC94" s="12"/>
      <c r="RD94" s="12"/>
      <c r="RE94" s="12"/>
      <c r="RF94" s="12"/>
      <c r="RG94" s="12"/>
      <c r="RH94" s="12"/>
      <c r="RI94" s="12"/>
      <c r="RJ94" s="12"/>
      <c r="RK94" s="12"/>
      <c r="RL94" s="12"/>
      <c r="RM94" s="12"/>
      <c r="RN94" s="12"/>
      <c r="RO94" s="12"/>
      <c r="RP94" s="12"/>
      <c r="RQ94" s="12"/>
      <c r="RR94" s="12"/>
      <c r="RS94" s="12"/>
      <c r="RT94" s="12"/>
      <c r="RU94" s="12"/>
      <c r="RV94" s="12"/>
      <c r="RW94" s="12"/>
      <c r="RX94" s="12"/>
      <c r="RY94" s="12"/>
      <c r="RZ94" s="12"/>
      <c r="SA94" s="12"/>
      <c r="SB94" s="12"/>
      <c r="SC94" s="12"/>
      <c r="SD94" s="12"/>
      <c r="SE94" s="12"/>
      <c r="SF94" s="12"/>
      <c r="SG94" s="12"/>
      <c r="SH94" s="12"/>
      <c r="SI94" s="12"/>
      <c r="SJ94" s="12"/>
      <c r="SK94" s="12"/>
      <c r="SL94" s="12"/>
      <c r="SM94" s="12"/>
      <c r="SN94" s="12"/>
      <c r="SO94" s="12"/>
      <c r="SP94" s="12"/>
      <c r="SQ94" s="12"/>
      <c r="SR94" s="12"/>
      <c r="SS94" s="12"/>
      <c r="ST94" s="12"/>
      <c r="SU94" s="12"/>
      <c r="SV94" s="12"/>
      <c r="SW94" s="12"/>
      <c r="SX94" s="12"/>
      <c r="SY94" s="12"/>
      <c r="SZ94" s="12"/>
      <c r="TA94" s="12"/>
      <c r="TB94" s="12"/>
      <c r="TC94" s="12"/>
      <c r="TD94" s="12"/>
      <c r="TE94" s="12"/>
      <c r="TF94" s="12"/>
      <c r="TG94" s="12"/>
      <c r="TH94" s="12"/>
      <c r="TI94" s="12"/>
      <c r="TJ94" s="12"/>
      <c r="TK94" s="12"/>
      <c r="TL94" s="12"/>
      <c r="TM94" s="12"/>
      <c r="TN94" s="12"/>
      <c r="TO94" s="12"/>
      <c r="TP94" s="12"/>
      <c r="TQ94" s="12"/>
      <c r="TR94" s="12"/>
      <c r="TS94" s="12"/>
      <c r="TT94" s="12"/>
      <c r="TU94" s="12"/>
      <c r="TV94" s="12"/>
      <c r="TW94" s="12"/>
      <c r="TX94" s="12"/>
      <c r="TY94" s="12"/>
      <c r="TZ94" s="12"/>
      <c r="UA94" s="12"/>
      <c r="UB94" s="12"/>
      <c r="UC94" s="12"/>
      <c r="UD94" s="12"/>
      <c r="UE94" s="12"/>
      <c r="UF94" s="12"/>
      <c r="UG94" s="12"/>
      <c r="UH94" s="12"/>
      <c r="UI94" s="12"/>
      <c r="UJ94" s="12"/>
      <c r="UK94" s="12"/>
      <c r="UL94" s="12"/>
      <c r="UM94" s="12"/>
      <c r="UN94" s="12"/>
      <c r="UO94" s="12"/>
      <c r="UP94" s="12"/>
      <c r="UQ94" s="12"/>
      <c r="UR94" s="12"/>
      <c r="US94" s="12"/>
      <c r="UT94" s="12"/>
      <c r="UU94" s="12"/>
      <c r="UV94" s="12"/>
      <c r="UW94" s="12"/>
      <c r="UX94" s="12"/>
      <c r="UY94" s="12"/>
      <c r="UZ94" s="12"/>
      <c r="VA94" s="12"/>
      <c r="VB94" s="12"/>
      <c r="VC94" s="12"/>
      <c r="VD94" s="12"/>
      <c r="VE94" s="12"/>
      <c r="VF94" s="12"/>
      <c r="VG94" s="12"/>
      <c r="VH94" s="12"/>
      <c r="VI94" s="12"/>
      <c r="VJ94" s="12"/>
      <c r="VK94" s="12"/>
      <c r="VL94" s="12"/>
      <c r="VM94" s="12"/>
      <c r="VN94" s="12"/>
      <c r="VO94" s="12"/>
      <c r="VP94" s="12"/>
      <c r="VQ94" s="12"/>
      <c r="VR94" s="12"/>
      <c r="VS94" s="12"/>
      <c r="VT94" s="12"/>
      <c r="VU94" s="12"/>
      <c r="VV94" s="12"/>
      <c r="VW94" s="12"/>
      <c r="VX94" s="12"/>
      <c r="VY94" s="12"/>
      <c r="VZ94" s="12"/>
      <c r="WA94" s="12"/>
      <c r="WB94" s="12"/>
      <c r="WC94" s="12"/>
      <c r="WD94" s="12"/>
      <c r="WE94" s="12"/>
      <c r="WF94" s="12"/>
      <c r="WG94" s="12"/>
      <c r="WH94" s="12"/>
      <c r="WI94" s="12"/>
      <c r="WJ94" s="12"/>
      <c r="WK94" s="12"/>
      <c r="WL94" s="12"/>
      <c r="WM94" s="12"/>
      <c r="WN94" s="12"/>
      <c r="WO94" s="12"/>
      <c r="WP94" s="12"/>
      <c r="WQ94" s="12"/>
      <c r="WR94" s="12"/>
      <c r="WS94" s="12"/>
      <c r="WT94" s="12"/>
      <c r="WU94" s="12"/>
      <c r="WV94" s="12"/>
      <c r="WW94" s="12"/>
      <c r="WX94" s="12"/>
      <c r="WY94" s="12"/>
      <c r="WZ94" s="12"/>
      <c r="XA94" s="12"/>
      <c r="XB94" s="12"/>
      <c r="XC94" s="12"/>
      <c r="XD94" s="12"/>
      <c r="XE94" s="12"/>
      <c r="XF94" s="12"/>
      <c r="XG94" s="12"/>
      <c r="XH94" s="12"/>
      <c r="XI94" s="12"/>
      <c r="XJ94" s="12"/>
      <c r="XK94" s="12"/>
      <c r="XL94" s="12"/>
      <c r="XM94" s="12"/>
      <c r="XN94" s="12"/>
      <c r="XO94" s="12"/>
      <c r="XP94" s="12"/>
      <c r="XQ94" s="12"/>
      <c r="XR94" s="12"/>
      <c r="XS94" s="12"/>
      <c r="XT94" s="12"/>
      <c r="XU94" s="12"/>
      <c r="XV94" s="12"/>
      <c r="XW94" s="12"/>
      <c r="XX94" s="12"/>
      <c r="XY94" s="12"/>
      <c r="XZ94" s="12"/>
      <c r="YA94" s="12"/>
      <c r="YB94" s="12"/>
      <c r="YC94" s="12"/>
      <c r="YD94" s="12"/>
      <c r="YE94" s="12"/>
      <c r="YF94" s="12"/>
      <c r="YG94" s="12"/>
      <c r="YH94" s="12"/>
      <c r="YI94" s="12"/>
      <c r="YJ94" s="12"/>
      <c r="YK94" s="12"/>
      <c r="YL94" s="12"/>
      <c r="YM94" s="12"/>
      <c r="YN94" s="12"/>
      <c r="YO94" s="12"/>
      <c r="YP94" s="12"/>
      <c r="YQ94" s="12"/>
      <c r="YR94" s="12"/>
      <c r="YS94" s="12"/>
      <c r="YT94" s="12"/>
      <c r="YU94" s="12"/>
      <c r="YV94" s="12"/>
      <c r="YW94" s="12"/>
      <c r="YX94" s="12"/>
      <c r="YY94" s="12"/>
      <c r="YZ94" s="12"/>
      <c r="ZA94" s="12"/>
      <c r="ZB94" s="12"/>
      <c r="ZC94" s="12"/>
      <c r="ZD94" s="12"/>
      <c r="ZE94" s="12"/>
      <c r="ZF94" s="12"/>
      <c r="ZG94" s="12"/>
      <c r="ZH94" s="12"/>
      <c r="ZI94" s="12"/>
      <c r="ZJ94" s="12"/>
      <c r="ZK94" s="12"/>
      <c r="ZL94" s="12"/>
      <c r="ZM94" s="12"/>
      <c r="ZN94" s="12"/>
      <c r="ZO94" s="12"/>
      <c r="ZP94" s="12"/>
      <c r="ZQ94" s="12"/>
      <c r="ZR94" s="12"/>
      <c r="ZS94" s="12"/>
      <c r="ZT94" s="12"/>
      <c r="ZU94" s="12"/>
      <c r="ZV94" s="12"/>
      <c r="ZW94" s="12"/>
      <c r="ZX94" s="12"/>
      <c r="ZY94" s="12"/>
      <c r="ZZ94" s="12"/>
      <c r="AAA94" s="12"/>
      <c r="AAB94" s="12"/>
      <c r="AAC94" s="12"/>
      <c r="AAD94" s="12"/>
      <c r="AAE94" s="12"/>
      <c r="AAF94" s="12"/>
      <c r="AAG94" s="12"/>
      <c r="AAH94" s="12"/>
      <c r="AAI94" s="12"/>
      <c r="AAJ94" s="12"/>
      <c r="AAK94" s="12"/>
      <c r="AAL94" s="12"/>
      <c r="AAM94" s="12"/>
      <c r="AAN94" s="12"/>
      <c r="AAO94" s="12"/>
      <c r="AAP94" s="12"/>
      <c r="AAQ94" s="12"/>
      <c r="AAR94" s="12"/>
      <c r="AAS94" s="12"/>
      <c r="AAT94" s="12"/>
      <c r="AAU94" s="12"/>
      <c r="AAV94" s="12"/>
      <c r="AAW94" s="12"/>
      <c r="AAX94" s="12"/>
      <c r="AAY94" s="12"/>
      <c r="AAZ94" s="12"/>
      <c r="ABA94" s="12"/>
      <c r="ABB94" s="12"/>
      <c r="ABC94" s="12"/>
      <c r="ABD94" s="12"/>
      <c r="ABE94" s="12"/>
      <c r="ABF94" s="12"/>
      <c r="ABG94" s="12"/>
      <c r="ABH94" s="12"/>
      <c r="ABI94" s="12"/>
      <c r="ABJ94" s="12"/>
      <c r="ABK94" s="12"/>
      <c r="ABL94" s="12"/>
      <c r="ABM94" s="12"/>
      <c r="ABN94" s="12"/>
      <c r="ABO94" s="12"/>
      <c r="ABP94" s="12"/>
      <c r="ABQ94" s="12"/>
      <c r="ABR94" s="12"/>
      <c r="ABS94" s="12"/>
      <c r="ABT94" s="12"/>
      <c r="ABU94" s="12"/>
      <c r="ABV94" s="12"/>
      <c r="ABW94" s="12"/>
      <c r="ABX94" s="12"/>
      <c r="ABY94" s="12"/>
      <c r="ABZ94" s="12"/>
      <c r="ACA94" s="12"/>
      <c r="ACB94" s="12"/>
      <c r="ACC94" s="12"/>
      <c r="ACD94" s="12"/>
      <c r="ACE94" s="12"/>
      <c r="ACF94" s="12"/>
      <c r="ACG94" s="12"/>
      <c r="ACH94" s="12"/>
      <c r="ACI94" s="12"/>
      <c r="ACJ94" s="12"/>
      <c r="ACK94" s="12"/>
      <c r="ACL94" s="12"/>
      <c r="ACM94" s="12"/>
      <c r="ACN94" s="12"/>
      <c r="ACO94" s="12"/>
      <c r="ACP94" s="12"/>
      <c r="ACQ94" s="12"/>
      <c r="ACR94" s="12"/>
      <c r="ACS94" s="12"/>
      <c r="ACT94" s="12"/>
      <c r="ACU94" s="12"/>
      <c r="ACV94" s="12"/>
      <c r="ACW94" s="12"/>
      <c r="ACX94" s="12"/>
      <c r="ACY94" s="12"/>
      <c r="ACZ94" s="12"/>
      <c r="ADA94" s="12"/>
      <c r="ADB94" s="12"/>
      <c r="ADC94" s="12"/>
      <c r="ADD94" s="12"/>
      <c r="ADE94" s="12"/>
      <c r="ADF94" s="12"/>
      <c r="ADG94" s="12"/>
      <c r="ADH94" s="12"/>
      <c r="ADI94" s="12"/>
      <c r="ADJ94" s="12"/>
      <c r="ADK94" s="12"/>
      <c r="ADL94" s="12"/>
      <c r="ADM94" s="12"/>
      <c r="ADN94" s="12"/>
      <c r="ADO94" s="12"/>
      <c r="ADP94" s="12"/>
      <c r="ADQ94" s="12"/>
      <c r="ADR94" s="12"/>
      <c r="ADS94" s="12"/>
      <c r="ADT94" s="12"/>
      <c r="ADU94" s="12"/>
      <c r="ADV94" s="12"/>
      <c r="ADW94" s="12"/>
      <c r="ADX94" s="12"/>
      <c r="ADY94" s="12"/>
      <c r="ADZ94" s="12"/>
      <c r="AEA94" s="12"/>
      <c r="AEB94" s="12"/>
      <c r="AEC94" s="12"/>
      <c r="AED94" s="12"/>
      <c r="AEE94" s="12"/>
      <c r="AEF94" s="12"/>
      <c r="AEG94" s="12"/>
      <c r="AEH94" s="12"/>
      <c r="AEI94" s="12"/>
      <c r="AEJ94" s="12"/>
      <c r="AEK94" s="12"/>
      <c r="AEL94" s="12"/>
      <c r="AEM94" s="12"/>
      <c r="AEN94" s="12"/>
      <c r="AEO94" s="12"/>
      <c r="AEP94" s="12"/>
      <c r="AEQ94" s="12"/>
      <c r="AER94" s="12"/>
    </row>
    <row r="95" spans="1:824" s="41" customFormat="1" ht="75.75" customHeight="1" x14ac:dyDescent="0.25">
      <c r="A95" s="42">
        <v>54</v>
      </c>
      <c r="B95" s="64" t="s">
        <v>236</v>
      </c>
      <c r="C95" s="19">
        <v>3252006214</v>
      </c>
      <c r="D95" s="40" t="s">
        <v>95</v>
      </c>
      <c r="E95" s="35" t="s">
        <v>102</v>
      </c>
      <c r="F95" s="44" t="s">
        <v>75</v>
      </c>
      <c r="G95" s="35" t="s">
        <v>76</v>
      </c>
      <c r="H95" s="38">
        <v>5.25</v>
      </c>
      <c r="I95" s="38">
        <v>6</v>
      </c>
      <c r="J95" s="38">
        <f>1390398.67/1000</f>
        <v>1390.39867</v>
      </c>
      <c r="K95" s="38">
        <v>1521.5</v>
      </c>
      <c r="L95" s="38">
        <v>1296.9000000000001</v>
      </c>
      <c r="M95" s="38">
        <v>1721.5</v>
      </c>
      <c r="N95" s="38">
        <f>38100/1000</f>
        <v>38.1</v>
      </c>
      <c r="O95" s="38">
        <v>62.5</v>
      </c>
      <c r="P95" s="38">
        <v>52</v>
      </c>
      <c r="Q95" s="38">
        <v>62.5</v>
      </c>
      <c r="R95" s="38">
        <v>0</v>
      </c>
      <c r="S95" s="38">
        <v>0</v>
      </c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  <c r="RN95" s="12"/>
      <c r="RO95" s="12"/>
      <c r="RP95" s="12"/>
      <c r="RQ95" s="12"/>
      <c r="RR95" s="12"/>
      <c r="RS95" s="12"/>
      <c r="RT95" s="12"/>
      <c r="RU95" s="12"/>
      <c r="RV95" s="12"/>
      <c r="RW95" s="12"/>
      <c r="RX95" s="12"/>
      <c r="RY95" s="12"/>
      <c r="RZ95" s="12"/>
      <c r="SA95" s="12"/>
      <c r="SB95" s="12"/>
      <c r="SC95" s="12"/>
      <c r="SD95" s="12"/>
      <c r="SE95" s="12"/>
      <c r="SF95" s="12"/>
      <c r="SG95" s="12"/>
      <c r="SH95" s="12"/>
      <c r="SI95" s="12"/>
      <c r="SJ95" s="12"/>
      <c r="SK95" s="12"/>
      <c r="SL95" s="12"/>
      <c r="SM95" s="12"/>
      <c r="SN95" s="12"/>
      <c r="SO95" s="12"/>
      <c r="SP95" s="12"/>
      <c r="SQ95" s="12"/>
      <c r="SR95" s="12"/>
      <c r="SS95" s="12"/>
      <c r="ST95" s="12"/>
      <c r="SU95" s="12"/>
      <c r="SV95" s="12"/>
      <c r="SW95" s="12"/>
      <c r="SX95" s="12"/>
      <c r="SY95" s="12"/>
      <c r="SZ95" s="12"/>
      <c r="TA95" s="12"/>
      <c r="TB95" s="12"/>
      <c r="TC95" s="12"/>
      <c r="TD95" s="12"/>
      <c r="TE95" s="12"/>
      <c r="TF95" s="12"/>
      <c r="TG95" s="12"/>
      <c r="TH95" s="12"/>
      <c r="TI95" s="12"/>
      <c r="TJ95" s="12"/>
      <c r="TK95" s="12"/>
      <c r="TL95" s="12"/>
      <c r="TM95" s="12"/>
      <c r="TN95" s="12"/>
      <c r="TO95" s="12"/>
      <c r="TP95" s="12"/>
      <c r="TQ95" s="12"/>
      <c r="TR95" s="12"/>
      <c r="TS95" s="12"/>
      <c r="TT95" s="12"/>
      <c r="TU95" s="12"/>
      <c r="TV95" s="12"/>
      <c r="TW95" s="12"/>
      <c r="TX95" s="12"/>
      <c r="TY95" s="12"/>
      <c r="TZ95" s="12"/>
      <c r="UA95" s="12"/>
      <c r="UB95" s="12"/>
      <c r="UC95" s="12"/>
      <c r="UD95" s="12"/>
      <c r="UE95" s="12"/>
      <c r="UF95" s="12"/>
      <c r="UG95" s="12"/>
      <c r="UH95" s="12"/>
      <c r="UI95" s="12"/>
      <c r="UJ95" s="12"/>
      <c r="UK95" s="12"/>
      <c r="UL95" s="12"/>
      <c r="UM95" s="12"/>
      <c r="UN95" s="12"/>
      <c r="UO95" s="12"/>
      <c r="UP95" s="12"/>
      <c r="UQ95" s="12"/>
      <c r="UR95" s="12"/>
      <c r="US95" s="12"/>
      <c r="UT95" s="12"/>
      <c r="UU95" s="12"/>
      <c r="UV95" s="12"/>
      <c r="UW95" s="12"/>
      <c r="UX95" s="12"/>
      <c r="UY95" s="12"/>
      <c r="UZ95" s="12"/>
      <c r="VA95" s="12"/>
      <c r="VB95" s="12"/>
      <c r="VC95" s="12"/>
      <c r="VD95" s="12"/>
      <c r="VE95" s="12"/>
      <c r="VF95" s="12"/>
      <c r="VG95" s="12"/>
      <c r="VH95" s="12"/>
      <c r="VI95" s="12"/>
      <c r="VJ95" s="12"/>
      <c r="VK95" s="12"/>
      <c r="VL95" s="12"/>
      <c r="VM95" s="12"/>
      <c r="VN95" s="12"/>
      <c r="VO95" s="12"/>
      <c r="VP95" s="12"/>
      <c r="VQ95" s="12"/>
      <c r="VR95" s="12"/>
      <c r="VS95" s="12"/>
      <c r="VT95" s="12"/>
      <c r="VU95" s="12"/>
      <c r="VV95" s="12"/>
      <c r="VW95" s="12"/>
      <c r="VX95" s="12"/>
      <c r="VY95" s="12"/>
      <c r="VZ95" s="12"/>
      <c r="WA95" s="12"/>
      <c r="WB95" s="12"/>
      <c r="WC95" s="12"/>
      <c r="WD95" s="12"/>
      <c r="WE95" s="12"/>
      <c r="WF95" s="12"/>
      <c r="WG95" s="12"/>
      <c r="WH95" s="12"/>
      <c r="WI95" s="12"/>
      <c r="WJ95" s="12"/>
      <c r="WK95" s="12"/>
      <c r="WL95" s="12"/>
      <c r="WM95" s="12"/>
      <c r="WN95" s="12"/>
      <c r="WO95" s="12"/>
      <c r="WP95" s="12"/>
      <c r="WQ95" s="12"/>
      <c r="WR95" s="12"/>
      <c r="WS95" s="12"/>
      <c r="WT95" s="12"/>
      <c r="WU95" s="12"/>
      <c r="WV95" s="12"/>
      <c r="WW95" s="12"/>
      <c r="WX95" s="12"/>
      <c r="WY95" s="12"/>
      <c r="WZ95" s="12"/>
      <c r="XA95" s="12"/>
      <c r="XB95" s="12"/>
      <c r="XC95" s="12"/>
      <c r="XD95" s="12"/>
      <c r="XE95" s="12"/>
      <c r="XF95" s="12"/>
      <c r="XG95" s="12"/>
      <c r="XH95" s="12"/>
      <c r="XI95" s="12"/>
      <c r="XJ95" s="12"/>
      <c r="XK95" s="12"/>
      <c r="XL95" s="12"/>
      <c r="XM95" s="12"/>
      <c r="XN95" s="12"/>
      <c r="XO95" s="12"/>
      <c r="XP95" s="12"/>
      <c r="XQ95" s="12"/>
      <c r="XR95" s="12"/>
      <c r="XS95" s="12"/>
      <c r="XT95" s="12"/>
      <c r="XU95" s="12"/>
      <c r="XV95" s="12"/>
      <c r="XW95" s="12"/>
      <c r="XX95" s="12"/>
      <c r="XY95" s="12"/>
      <c r="XZ95" s="12"/>
      <c r="YA95" s="12"/>
      <c r="YB95" s="12"/>
      <c r="YC95" s="12"/>
      <c r="YD95" s="12"/>
      <c r="YE95" s="12"/>
      <c r="YF95" s="12"/>
      <c r="YG95" s="12"/>
      <c r="YH95" s="12"/>
      <c r="YI95" s="12"/>
      <c r="YJ95" s="12"/>
      <c r="YK95" s="12"/>
      <c r="YL95" s="12"/>
      <c r="YM95" s="12"/>
      <c r="YN95" s="12"/>
      <c r="YO95" s="12"/>
      <c r="YP95" s="12"/>
      <c r="YQ95" s="12"/>
      <c r="YR95" s="12"/>
      <c r="YS95" s="12"/>
      <c r="YT95" s="12"/>
      <c r="YU95" s="12"/>
      <c r="YV95" s="12"/>
      <c r="YW95" s="12"/>
      <c r="YX95" s="12"/>
      <c r="YY95" s="12"/>
      <c r="YZ95" s="12"/>
      <c r="ZA95" s="12"/>
      <c r="ZB95" s="12"/>
      <c r="ZC95" s="12"/>
      <c r="ZD95" s="12"/>
      <c r="ZE95" s="12"/>
      <c r="ZF95" s="12"/>
      <c r="ZG95" s="12"/>
      <c r="ZH95" s="12"/>
      <c r="ZI95" s="12"/>
      <c r="ZJ95" s="12"/>
      <c r="ZK95" s="12"/>
      <c r="ZL95" s="12"/>
      <c r="ZM95" s="12"/>
      <c r="ZN95" s="12"/>
      <c r="ZO95" s="12"/>
      <c r="ZP95" s="12"/>
      <c r="ZQ95" s="12"/>
      <c r="ZR95" s="12"/>
      <c r="ZS95" s="12"/>
      <c r="ZT95" s="12"/>
      <c r="ZU95" s="12"/>
      <c r="ZV95" s="12"/>
      <c r="ZW95" s="12"/>
      <c r="ZX95" s="12"/>
      <c r="ZY95" s="12"/>
      <c r="ZZ95" s="12"/>
      <c r="AAA95" s="12"/>
      <c r="AAB95" s="12"/>
      <c r="AAC95" s="12"/>
      <c r="AAD95" s="12"/>
      <c r="AAE95" s="12"/>
      <c r="AAF95" s="12"/>
      <c r="AAG95" s="12"/>
      <c r="AAH95" s="12"/>
      <c r="AAI95" s="12"/>
      <c r="AAJ95" s="12"/>
      <c r="AAK95" s="12"/>
      <c r="AAL95" s="12"/>
      <c r="AAM95" s="12"/>
      <c r="AAN95" s="12"/>
      <c r="AAO95" s="12"/>
      <c r="AAP95" s="12"/>
      <c r="AAQ95" s="12"/>
      <c r="AAR95" s="12"/>
      <c r="AAS95" s="12"/>
      <c r="AAT95" s="12"/>
      <c r="AAU95" s="12"/>
      <c r="AAV95" s="12"/>
      <c r="AAW95" s="12"/>
      <c r="AAX95" s="12"/>
      <c r="AAY95" s="12"/>
      <c r="AAZ95" s="12"/>
      <c r="ABA95" s="12"/>
      <c r="ABB95" s="12"/>
      <c r="ABC95" s="12"/>
      <c r="ABD95" s="12"/>
      <c r="ABE95" s="12"/>
      <c r="ABF95" s="12"/>
      <c r="ABG95" s="12"/>
      <c r="ABH95" s="12"/>
      <c r="ABI95" s="12"/>
      <c r="ABJ95" s="12"/>
      <c r="ABK95" s="12"/>
      <c r="ABL95" s="12"/>
      <c r="ABM95" s="12"/>
      <c r="ABN95" s="12"/>
      <c r="ABO95" s="12"/>
      <c r="ABP95" s="12"/>
      <c r="ABQ95" s="12"/>
      <c r="ABR95" s="12"/>
      <c r="ABS95" s="12"/>
      <c r="ABT95" s="12"/>
      <c r="ABU95" s="12"/>
      <c r="ABV95" s="12"/>
      <c r="ABW95" s="12"/>
      <c r="ABX95" s="12"/>
      <c r="ABY95" s="12"/>
      <c r="ABZ95" s="12"/>
      <c r="ACA95" s="12"/>
      <c r="ACB95" s="12"/>
      <c r="ACC95" s="12"/>
      <c r="ACD95" s="12"/>
      <c r="ACE95" s="12"/>
      <c r="ACF95" s="12"/>
      <c r="ACG95" s="12"/>
      <c r="ACH95" s="12"/>
      <c r="ACI95" s="12"/>
      <c r="ACJ95" s="12"/>
      <c r="ACK95" s="12"/>
      <c r="ACL95" s="12"/>
      <c r="ACM95" s="12"/>
      <c r="ACN95" s="12"/>
      <c r="ACO95" s="12"/>
      <c r="ACP95" s="12"/>
      <c r="ACQ95" s="12"/>
      <c r="ACR95" s="12"/>
      <c r="ACS95" s="12"/>
      <c r="ACT95" s="12"/>
      <c r="ACU95" s="12"/>
      <c r="ACV95" s="12"/>
      <c r="ACW95" s="12"/>
      <c r="ACX95" s="12"/>
      <c r="ACY95" s="12"/>
      <c r="ACZ95" s="12"/>
      <c r="ADA95" s="12"/>
      <c r="ADB95" s="12"/>
      <c r="ADC95" s="12"/>
      <c r="ADD95" s="12"/>
      <c r="ADE95" s="12"/>
      <c r="ADF95" s="12"/>
      <c r="ADG95" s="12"/>
      <c r="ADH95" s="12"/>
      <c r="ADI95" s="12"/>
      <c r="ADJ95" s="12"/>
      <c r="ADK95" s="12"/>
      <c r="ADL95" s="12"/>
      <c r="ADM95" s="12"/>
      <c r="ADN95" s="12"/>
      <c r="ADO95" s="12"/>
      <c r="ADP95" s="12"/>
      <c r="ADQ95" s="12"/>
      <c r="ADR95" s="12"/>
      <c r="ADS95" s="12"/>
      <c r="ADT95" s="12"/>
      <c r="ADU95" s="12"/>
      <c r="ADV95" s="12"/>
      <c r="ADW95" s="12"/>
      <c r="ADX95" s="12"/>
      <c r="ADY95" s="12"/>
      <c r="ADZ95" s="12"/>
      <c r="AEA95" s="12"/>
      <c r="AEB95" s="12"/>
      <c r="AEC95" s="12"/>
      <c r="AED95" s="12"/>
      <c r="AEE95" s="12"/>
      <c r="AEF95" s="12"/>
      <c r="AEG95" s="12"/>
      <c r="AEH95" s="12"/>
      <c r="AEI95" s="12"/>
      <c r="AEJ95" s="12"/>
      <c r="AEK95" s="12"/>
      <c r="AEL95" s="12"/>
      <c r="AEM95" s="12"/>
      <c r="AEN95" s="12"/>
      <c r="AEO95" s="12"/>
      <c r="AEP95" s="12"/>
      <c r="AEQ95" s="12"/>
      <c r="AER95" s="12"/>
    </row>
    <row r="96" spans="1:824" x14ac:dyDescent="0.25">
      <c r="A96" s="78" t="s">
        <v>11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12"/>
      <c r="U96" s="11"/>
      <c r="V96" s="11"/>
      <c r="W96" s="11"/>
      <c r="X96" s="11"/>
    </row>
    <row r="97" spans="1:24" s="2" customFormat="1" ht="92.25" customHeight="1" x14ac:dyDescent="0.25">
      <c r="A97" s="33">
        <v>1</v>
      </c>
      <c r="B97" s="40" t="s">
        <v>53</v>
      </c>
      <c r="C97" s="35">
        <v>3252501265</v>
      </c>
      <c r="D97" s="40" t="s">
        <v>95</v>
      </c>
      <c r="E97" s="35" t="s">
        <v>54</v>
      </c>
      <c r="F97" s="35">
        <v>93.1</v>
      </c>
      <c r="G97" s="35" t="s">
        <v>55</v>
      </c>
      <c r="H97" s="38">
        <v>40</v>
      </c>
      <c r="I97" s="38">
        <v>40</v>
      </c>
      <c r="J97" s="39">
        <v>11442.7</v>
      </c>
      <c r="K97" s="39">
        <v>11714.7</v>
      </c>
      <c r="L97" s="39">
        <v>9156.6</v>
      </c>
      <c r="M97" s="39">
        <v>14422.4</v>
      </c>
      <c r="N97" s="38">
        <v>2133.8000000000002</v>
      </c>
      <c r="O97" s="38">
        <v>2500</v>
      </c>
      <c r="P97" s="38">
        <v>1555.8</v>
      </c>
      <c r="Q97" s="38">
        <v>2000</v>
      </c>
      <c r="R97" s="42">
        <v>3899.5</v>
      </c>
      <c r="S97" s="42">
        <v>0.68</v>
      </c>
      <c r="T97" s="11"/>
      <c r="U97" s="12"/>
      <c r="V97" s="12"/>
      <c r="W97" s="12"/>
      <c r="X97" s="12"/>
    </row>
    <row r="98" spans="1:24" s="2" customFormat="1" ht="15.75" hidden="1" x14ac:dyDescent="0.25">
      <c r="A98" s="16">
        <v>2</v>
      </c>
      <c r="B98" s="13"/>
      <c r="C98" s="13"/>
      <c r="D98" s="14"/>
      <c r="E98" s="13"/>
      <c r="F98" s="12"/>
      <c r="G98" s="13"/>
      <c r="H98" s="10"/>
      <c r="I98" s="10"/>
      <c r="J98" s="17"/>
      <c r="K98" s="17"/>
      <c r="L98" s="17"/>
      <c r="M98" s="26"/>
      <c r="N98" s="10"/>
      <c r="O98" s="10"/>
      <c r="P98" s="10"/>
      <c r="Q98" s="10"/>
      <c r="R98" s="12"/>
      <c r="S98" s="18"/>
      <c r="T98" s="12"/>
      <c r="U98" s="12"/>
      <c r="V98" s="12"/>
      <c r="W98" s="12"/>
      <c r="X98" s="12"/>
    </row>
    <row r="99" spans="1:24" s="2" customFormat="1" ht="15.75" hidden="1" x14ac:dyDescent="0.25">
      <c r="A99" s="16">
        <v>3</v>
      </c>
      <c r="B99" s="13"/>
      <c r="C99" s="13"/>
      <c r="D99" s="14"/>
      <c r="E99" s="13"/>
      <c r="F99" s="12"/>
      <c r="G99" s="12"/>
      <c r="H99" s="10"/>
      <c r="I99" s="10"/>
      <c r="J99" s="17"/>
      <c r="K99" s="17"/>
      <c r="L99" s="17"/>
      <c r="M99" s="26"/>
      <c r="N99" s="10"/>
      <c r="O99" s="10"/>
      <c r="P99" s="10"/>
      <c r="Q99" s="10"/>
      <c r="R99" s="12"/>
      <c r="S99" s="18"/>
      <c r="T99" s="12"/>
      <c r="U99" s="12"/>
      <c r="V99" s="12"/>
      <c r="W99" s="12"/>
      <c r="X99" s="12"/>
    </row>
    <row r="100" spans="1:24" s="2" customFormat="1" hidden="1" x14ac:dyDescent="0.25">
      <c r="A100" s="12" t="s">
        <v>7</v>
      </c>
      <c r="B100" s="13"/>
      <c r="C100" s="13"/>
      <c r="D100" s="14"/>
      <c r="E100" s="13"/>
      <c r="F100" s="12"/>
      <c r="G100" s="12"/>
      <c r="H100" s="10"/>
      <c r="I100" s="10"/>
      <c r="J100" s="10"/>
      <c r="K100" s="10"/>
      <c r="L100" s="10"/>
      <c r="M100" s="6"/>
      <c r="N100" s="10"/>
      <c r="O100" s="10"/>
      <c r="P100" s="10"/>
      <c r="Q100" s="10"/>
      <c r="R100" s="12"/>
      <c r="S100" s="15"/>
      <c r="T100" s="12"/>
      <c r="U100" s="12"/>
      <c r="V100" s="12"/>
      <c r="W100" s="12"/>
      <c r="X100" s="12"/>
    </row>
    <row r="101" spans="1:24" ht="138" customHeight="1" x14ac:dyDescent="0.25">
      <c r="A101" s="97" t="s">
        <v>0</v>
      </c>
      <c r="B101" s="98" t="s">
        <v>1</v>
      </c>
      <c r="C101" s="99"/>
      <c r="D101" s="98" t="s">
        <v>9</v>
      </c>
      <c r="E101" s="98" t="s">
        <v>2</v>
      </c>
      <c r="F101" s="98" t="s">
        <v>6</v>
      </c>
      <c r="G101" s="98"/>
      <c r="H101" s="91" t="s">
        <v>3</v>
      </c>
      <c r="I101" s="91" t="s">
        <v>15</v>
      </c>
      <c r="J101" s="91" t="s">
        <v>16</v>
      </c>
      <c r="K101" s="91"/>
      <c r="L101" s="91"/>
      <c r="M101" s="91"/>
      <c r="N101" s="91"/>
      <c r="O101" s="92" t="s">
        <v>17</v>
      </c>
      <c r="P101" s="93"/>
      <c r="Q101" s="93"/>
      <c r="R101" s="94"/>
      <c r="S101" s="92" t="s">
        <v>18</v>
      </c>
      <c r="T101" s="93"/>
      <c r="U101" s="93"/>
      <c r="V101" s="94"/>
      <c r="W101" s="95" t="s">
        <v>20</v>
      </c>
      <c r="X101" s="91" t="s">
        <v>19</v>
      </c>
    </row>
    <row r="102" spans="1:24" ht="45" x14ac:dyDescent="0.25">
      <c r="A102" s="97"/>
      <c r="B102" s="98"/>
      <c r="C102" s="100"/>
      <c r="D102" s="98"/>
      <c r="E102" s="98"/>
      <c r="F102" s="19" t="s">
        <v>4</v>
      </c>
      <c r="G102" s="19" t="s">
        <v>5</v>
      </c>
      <c r="H102" s="91"/>
      <c r="I102" s="91"/>
      <c r="J102" s="20" t="s">
        <v>237</v>
      </c>
      <c r="K102" s="20" t="s">
        <v>229</v>
      </c>
      <c r="L102" s="20"/>
      <c r="M102" s="25" t="s">
        <v>239</v>
      </c>
      <c r="N102" s="20" t="s">
        <v>238</v>
      </c>
      <c r="O102" s="20" t="s">
        <v>237</v>
      </c>
      <c r="P102" s="20" t="s">
        <v>229</v>
      </c>
      <c r="Q102" s="20" t="s">
        <v>239</v>
      </c>
      <c r="R102" s="20" t="s">
        <v>238</v>
      </c>
      <c r="S102" s="20" t="s">
        <v>237</v>
      </c>
      <c r="T102" s="20" t="s">
        <v>229</v>
      </c>
      <c r="U102" s="20" t="s">
        <v>240</v>
      </c>
      <c r="V102" s="20" t="s">
        <v>238</v>
      </c>
      <c r="W102" s="96"/>
      <c r="X102" s="91"/>
    </row>
    <row r="103" spans="1:24" x14ac:dyDescent="0.25">
      <c r="A103" s="104" t="s">
        <v>14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5"/>
    </row>
    <row r="104" spans="1:24" s="2" customFormat="1" ht="56.25" x14ac:dyDescent="0.25">
      <c r="A104" s="33">
        <v>1</v>
      </c>
      <c r="B104" s="40" t="s">
        <v>56</v>
      </c>
      <c r="C104" s="35"/>
      <c r="D104" s="40" t="s">
        <v>95</v>
      </c>
      <c r="E104" s="35" t="s">
        <v>57</v>
      </c>
      <c r="F104" s="43" t="s">
        <v>103</v>
      </c>
      <c r="G104" s="35" t="s">
        <v>58</v>
      </c>
      <c r="H104" s="36">
        <v>14</v>
      </c>
      <c r="I104" s="36">
        <v>3</v>
      </c>
      <c r="J104" s="36">
        <v>1973</v>
      </c>
      <c r="K104" s="36">
        <v>280</v>
      </c>
      <c r="L104" s="36"/>
      <c r="M104" s="36">
        <v>205</v>
      </c>
      <c r="N104" s="69">
        <v>308</v>
      </c>
      <c r="O104" s="69">
        <v>1155</v>
      </c>
      <c r="P104" s="69">
        <v>650</v>
      </c>
      <c r="Q104" s="69">
        <v>490</v>
      </c>
      <c r="R104" s="36">
        <v>715</v>
      </c>
      <c r="S104" s="36">
        <v>818</v>
      </c>
      <c r="T104" s="36">
        <v>-370</v>
      </c>
      <c r="U104" s="36">
        <v>-285</v>
      </c>
      <c r="V104" s="36">
        <v>-407</v>
      </c>
      <c r="W104" s="36">
        <v>990</v>
      </c>
      <c r="X104" s="36" t="s">
        <v>107</v>
      </c>
    </row>
    <row r="105" spans="1:24" s="2" customFormat="1" ht="48.75" customHeight="1" x14ac:dyDescent="0.25">
      <c r="A105" s="33">
        <v>2</v>
      </c>
      <c r="B105" s="40" t="s">
        <v>70</v>
      </c>
      <c r="C105" s="35"/>
      <c r="D105" s="40" t="s">
        <v>95</v>
      </c>
      <c r="E105" s="35" t="s">
        <v>59</v>
      </c>
      <c r="F105" s="44">
        <v>36</v>
      </c>
      <c r="G105" s="35" t="s">
        <v>71</v>
      </c>
      <c r="H105" s="25">
        <v>118</v>
      </c>
      <c r="I105" s="36">
        <v>81</v>
      </c>
      <c r="J105" s="36">
        <v>45018.9</v>
      </c>
      <c r="K105" s="36">
        <v>62000</v>
      </c>
      <c r="L105" s="36"/>
      <c r="M105" s="36">
        <v>50795</v>
      </c>
      <c r="N105" s="69">
        <v>55000</v>
      </c>
      <c r="O105" s="69">
        <v>48326.2</v>
      </c>
      <c r="P105" s="69">
        <v>62100</v>
      </c>
      <c r="Q105" s="69">
        <v>45929.5</v>
      </c>
      <c r="R105" s="36">
        <v>54000</v>
      </c>
      <c r="S105" s="36">
        <v>-3307.3</v>
      </c>
      <c r="T105" s="36">
        <v>900</v>
      </c>
      <c r="U105" s="36">
        <v>4865.5</v>
      </c>
      <c r="V105" s="36">
        <v>1000</v>
      </c>
      <c r="W105" s="36">
        <v>1251</v>
      </c>
      <c r="X105" s="36">
        <v>15.8</v>
      </c>
    </row>
    <row r="106" spans="1:24" s="2" customFormat="1" ht="67.5" customHeight="1" x14ac:dyDescent="0.25">
      <c r="A106" s="101">
        <v>3</v>
      </c>
      <c r="B106" s="102" t="s">
        <v>60</v>
      </c>
      <c r="C106" s="35"/>
      <c r="D106" s="40" t="s">
        <v>95</v>
      </c>
      <c r="E106" s="103" t="s">
        <v>61</v>
      </c>
      <c r="F106" s="44" t="s">
        <v>62</v>
      </c>
      <c r="G106" s="35" t="s">
        <v>63</v>
      </c>
      <c r="H106" s="36"/>
      <c r="I106" s="36"/>
      <c r="J106" s="36"/>
      <c r="K106" s="36"/>
      <c r="L106" s="36"/>
      <c r="M106" s="36"/>
      <c r="N106" s="69"/>
      <c r="O106" s="69"/>
      <c r="P106" s="69"/>
      <c r="Q106" s="69"/>
      <c r="R106" s="36"/>
      <c r="S106" s="36"/>
      <c r="T106" s="36"/>
      <c r="U106" s="36"/>
      <c r="V106" s="36"/>
      <c r="W106" s="36"/>
      <c r="X106" s="36"/>
    </row>
    <row r="107" spans="1:24" s="2" customFormat="1" ht="48.75" customHeight="1" x14ac:dyDescent="0.25">
      <c r="A107" s="101"/>
      <c r="B107" s="102"/>
      <c r="C107" s="35"/>
      <c r="D107" s="40" t="s">
        <v>95</v>
      </c>
      <c r="E107" s="103"/>
      <c r="F107" s="44" t="s">
        <v>64</v>
      </c>
      <c r="G107" s="35" t="s">
        <v>65</v>
      </c>
      <c r="H107" s="36">
        <v>53</v>
      </c>
      <c r="I107" s="36">
        <v>35</v>
      </c>
      <c r="J107" s="36">
        <v>8003</v>
      </c>
      <c r="K107" s="36">
        <v>8100</v>
      </c>
      <c r="L107" s="36"/>
      <c r="M107" s="36">
        <v>6184</v>
      </c>
      <c r="N107" s="69">
        <v>8150</v>
      </c>
      <c r="O107" s="69">
        <v>8384</v>
      </c>
      <c r="P107" s="69">
        <v>8400</v>
      </c>
      <c r="Q107" s="69">
        <v>6627</v>
      </c>
      <c r="R107" s="36">
        <v>8130</v>
      </c>
      <c r="S107" s="36">
        <v>-463</v>
      </c>
      <c r="T107" s="36">
        <v>-300</v>
      </c>
      <c r="U107" s="36">
        <v>-443</v>
      </c>
      <c r="V107" s="36">
        <v>20</v>
      </c>
      <c r="W107" s="36">
        <v>2577</v>
      </c>
      <c r="X107" s="36">
        <v>2.2000000000000002</v>
      </c>
    </row>
    <row r="108" spans="1:24" s="2" customFormat="1" ht="93.75" x14ac:dyDescent="0.25">
      <c r="A108" s="42">
        <v>5</v>
      </c>
      <c r="B108" s="40" t="s">
        <v>66</v>
      </c>
      <c r="C108" s="35"/>
      <c r="D108" s="40" t="s">
        <v>95</v>
      </c>
      <c r="E108" s="35" t="s">
        <v>67</v>
      </c>
      <c r="F108" s="35" t="s">
        <v>68</v>
      </c>
      <c r="G108" s="35" t="s">
        <v>69</v>
      </c>
      <c r="H108" s="91" t="s">
        <v>108</v>
      </c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38" t="s">
        <v>107</v>
      </c>
      <c r="X108" s="38" t="s">
        <v>107</v>
      </c>
    </row>
    <row r="109" spans="1:24" s="2" customFormat="1" x14ac:dyDescent="0.25">
      <c r="A109" s="21" t="s">
        <v>8</v>
      </c>
      <c r="B109" s="22"/>
      <c r="C109" s="22"/>
      <c r="D109" s="22"/>
      <c r="E109" s="22"/>
      <c r="F109" s="21"/>
      <c r="G109" s="21"/>
      <c r="H109" s="23"/>
      <c r="I109" s="23"/>
      <c r="J109" s="23"/>
      <c r="K109" s="23"/>
      <c r="L109" s="23"/>
      <c r="M109" s="27"/>
      <c r="N109" s="23"/>
      <c r="O109" s="23"/>
      <c r="P109" s="23"/>
      <c r="Q109" s="23"/>
      <c r="R109" s="23"/>
      <c r="S109" s="23"/>
      <c r="T109" s="23"/>
      <c r="U109" s="23"/>
      <c r="V109" s="23"/>
      <c r="W109" s="24"/>
      <c r="X109" s="23"/>
    </row>
    <row r="110" spans="1:24" s="2" customFormat="1" x14ac:dyDescent="0.25">
      <c r="B110" s="3"/>
      <c r="C110" s="3"/>
      <c r="D110" s="3"/>
      <c r="E110" s="3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24" s="2" customFormat="1" x14ac:dyDescent="0.25">
      <c r="B111" s="3"/>
      <c r="C111" s="3"/>
      <c r="D111" s="3"/>
      <c r="E111" s="3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24" s="2" customFormat="1" x14ac:dyDescent="0.25">
      <c r="B112" s="3"/>
      <c r="C112" s="3"/>
      <c r="D112" s="3"/>
      <c r="E112" s="3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s="2" customFormat="1" x14ac:dyDescent="0.25">
      <c r="B113" s="3"/>
      <c r="C113" s="3"/>
      <c r="D113" s="3"/>
      <c r="E113" s="3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s="2" customFormat="1" x14ac:dyDescent="0.25">
      <c r="B114" s="3"/>
      <c r="C114" s="3"/>
      <c r="D114" s="3"/>
      <c r="E114" s="3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s="2" customFormat="1" x14ac:dyDescent="0.25">
      <c r="B115" s="3"/>
      <c r="C115" s="3"/>
      <c r="D115" s="3"/>
      <c r="E115" s="3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s="2" customFormat="1" x14ac:dyDescent="0.25">
      <c r="B116" s="3"/>
      <c r="C116" s="3"/>
      <c r="D116" s="3"/>
      <c r="E116" s="3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s="2" customFormat="1" x14ac:dyDescent="0.25">
      <c r="B117" s="3"/>
      <c r="C117" s="3"/>
      <c r="D117" s="3"/>
      <c r="E117" s="3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s="2" customFormat="1" x14ac:dyDescent="0.25">
      <c r="B118" s="3"/>
      <c r="C118" s="3"/>
      <c r="D118" s="3"/>
      <c r="E118" s="3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s="2" customFormat="1" x14ac:dyDescent="0.25">
      <c r="B119" s="3"/>
      <c r="C119" s="3"/>
      <c r="D119" s="3"/>
      <c r="E119" s="3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s="2" customFormat="1" x14ac:dyDescent="0.25">
      <c r="B120" s="3"/>
      <c r="C120" s="3"/>
      <c r="D120" s="3"/>
      <c r="E120" s="3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s="2" customFormat="1" x14ac:dyDescent="0.25">
      <c r="B121" s="3"/>
      <c r="C121" s="3"/>
      <c r="D121" s="3"/>
      <c r="E121" s="3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s="2" customFormat="1" x14ac:dyDescent="0.25">
      <c r="B122" s="3"/>
      <c r="C122" s="3"/>
      <c r="D122" s="3"/>
      <c r="E122" s="3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s="2" customFormat="1" x14ac:dyDescent="0.25">
      <c r="B123" s="3"/>
      <c r="C123" s="3"/>
      <c r="D123" s="3"/>
      <c r="E123" s="3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s="2" customFormat="1" x14ac:dyDescent="0.25">
      <c r="B124" s="3"/>
      <c r="C124" s="3"/>
      <c r="D124" s="3"/>
      <c r="E124" s="3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s="2" customFormat="1" x14ac:dyDescent="0.25">
      <c r="B125" s="3"/>
      <c r="C125" s="3"/>
      <c r="D125" s="3"/>
      <c r="E125" s="3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s="2" customFormat="1" x14ac:dyDescent="0.25">
      <c r="B126" s="3"/>
      <c r="C126" s="3"/>
      <c r="D126" s="3"/>
      <c r="E126" s="3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s="2" customFormat="1" x14ac:dyDescent="0.25">
      <c r="B127" s="3"/>
      <c r="C127" s="3"/>
      <c r="D127" s="3"/>
      <c r="E127" s="3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s="2" customFormat="1" x14ac:dyDescent="0.25">
      <c r="B128" s="3"/>
      <c r="C128" s="3"/>
      <c r="D128" s="3"/>
      <c r="E128" s="3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s="2" customFormat="1" x14ac:dyDescent="0.25">
      <c r="B129" s="3"/>
      <c r="C129" s="3"/>
      <c r="D129" s="3"/>
      <c r="E129" s="3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s="2" customFormat="1" x14ac:dyDescent="0.25">
      <c r="B130" s="3"/>
      <c r="C130" s="3"/>
      <c r="D130" s="3"/>
      <c r="E130" s="3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s="2" customFormat="1" x14ac:dyDescent="0.25">
      <c r="B131" s="3"/>
      <c r="C131" s="3"/>
      <c r="D131" s="3"/>
      <c r="E131" s="3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s="2" customFormat="1" x14ac:dyDescent="0.25">
      <c r="B132" s="3"/>
      <c r="C132" s="3"/>
      <c r="D132" s="3"/>
      <c r="E132" s="3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s="2" customFormat="1" x14ac:dyDescent="0.25">
      <c r="B133" s="3"/>
      <c r="C133" s="3"/>
      <c r="D133" s="3"/>
      <c r="E133" s="3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s="2" customFormat="1" x14ac:dyDescent="0.25">
      <c r="B134" s="3"/>
      <c r="C134" s="3"/>
      <c r="D134" s="3"/>
      <c r="E134" s="3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s="2" customFormat="1" x14ac:dyDescent="0.25">
      <c r="B135" s="3"/>
      <c r="C135" s="3"/>
      <c r="D135" s="3"/>
      <c r="E135" s="3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s="2" customFormat="1" x14ac:dyDescent="0.25">
      <c r="B136" s="3"/>
      <c r="C136" s="3"/>
      <c r="D136" s="3"/>
      <c r="E136" s="3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s="2" customFormat="1" x14ac:dyDescent="0.25">
      <c r="B137" s="3"/>
      <c r="C137" s="3"/>
      <c r="D137" s="3"/>
      <c r="E137" s="3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s="2" customFormat="1" x14ac:dyDescent="0.25">
      <c r="B138" s="3"/>
      <c r="C138" s="3"/>
      <c r="D138" s="3"/>
      <c r="E138" s="3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s="2" customFormat="1" x14ac:dyDescent="0.25">
      <c r="B139" s="3"/>
      <c r="C139" s="3"/>
      <c r="D139" s="3"/>
      <c r="E139" s="3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s="2" customFormat="1" x14ac:dyDescent="0.25">
      <c r="B140" s="3"/>
      <c r="C140" s="3"/>
      <c r="D140" s="3"/>
      <c r="E140" s="3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s="2" customFormat="1" x14ac:dyDescent="0.25">
      <c r="B141" s="3"/>
      <c r="C141" s="3"/>
      <c r="D141" s="3"/>
      <c r="E141" s="3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s="2" customFormat="1" x14ac:dyDescent="0.25">
      <c r="B142" s="3"/>
      <c r="C142" s="3"/>
      <c r="D142" s="3"/>
      <c r="E142" s="3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s="2" customFormat="1" x14ac:dyDescent="0.25">
      <c r="B143" s="3"/>
      <c r="C143" s="3"/>
      <c r="D143" s="3"/>
      <c r="E143" s="3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s="2" customFormat="1" x14ac:dyDescent="0.25">
      <c r="B144" s="3"/>
      <c r="C144" s="3"/>
      <c r="D144" s="3"/>
      <c r="E144" s="3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s="2" customFormat="1" x14ac:dyDescent="0.25">
      <c r="B145" s="3"/>
      <c r="C145" s="3"/>
      <c r="D145" s="3"/>
      <c r="E145" s="3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s="2" customFormat="1" x14ac:dyDescent="0.25">
      <c r="B146" s="3"/>
      <c r="C146" s="3"/>
      <c r="D146" s="3"/>
      <c r="E146" s="3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s="2" customFormat="1" x14ac:dyDescent="0.25">
      <c r="B147" s="3"/>
      <c r="C147" s="3"/>
      <c r="D147" s="3"/>
      <c r="E147" s="3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s="2" customFormat="1" x14ac:dyDescent="0.25">
      <c r="B148" s="3"/>
      <c r="C148" s="3"/>
      <c r="D148" s="3"/>
      <c r="E148" s="3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s="2" customFormat="1" x14ac:dyDescent="0.25">
      <c r="B149" s="3"/>
      <c r="C149" s="3"/>
      <c r="D149" s="3"/>
      <c r="E149" s="3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s="2" customFormat="1" x14ac:dyDescent="0.25">
      <c r="B150" s="3"/>
      <c r="C150" s="3"/>
      <c r="D150" s="3"/>
      <c r="E150" s="3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s="2" customFormat="1" x14ac:dyDescent="0.25">
      <c r="B151" s="3"/>
      <c r="C151" s="3"/>
      <c r="D151" s="3"/>
      <c r="E151" s="3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s="2" customFormat="1" x14ac:dyDescent="0.25">
      <c r="B152" s="3"/>
      <c r="C152" s="3"/>
      <c r="D152" s="3"/>
      <c r="E152" s="3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s="2" customFormat="1" x14ac:dyDescent="0.25">
      <c r="B153" s="3"/>
      <c r="C153" s="3"/>
      <c r="D153" s="3"/>
      <c r="E153" s="3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s="2" customFormat="1" x14ac:dyDescent="0.25">
      <c r="B154" s="3"/>
      <c r="C154" s="3"/>
      <c r="D154" s="3"/>
      <c r="E154" s="3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s="2" customFormat="1" x14ac:dyDescent="0.25">
      <c r="B155" s="3"/>
      <c r="C155" s="3"/>
      <c r="D155" s="3"/>
      <c r="E155" s="3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s="2" customFormat="1" x14ac:dyDescent="0.25">
      <c r="B156" s="3"/>
      <c r="C156" s="3"/>
      <c r="D156" s="3"/>
      <c r="E156" s="3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s="2" customFormat="1" x14ac:dyDescent="0.25">
      <c r="B157" s="3"/>
      <c r="C157" s="3"/>
      <c r="D157" s="3"/>
      <c r="E157" s="3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s="2" customFormat="1" x14ac:dyDescent="0.25">
      <c r="B158" s="3"/>
      <c r="C158" s="3"/>
      <c r="D158" s="3"/>
      <c r="E158" s="3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s="2" customFormat="1" x14ac:dyDescent="0.25">
      <c r="B159" s="3"/>
      <c r="C159" s="3"/>
      <c r="D159" s="3"/>
      <c r="E159" s="3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s="2" customFormat="1" x14ac:dyDescent="0.25">
      <c r="B160" s="3"/>
      <c r="C160" s="3"/>
      <c r="D160" s="3"/>
      <c r="E160" s="3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s="2" customFormat="1" x14ac:dyDescent="0.25">
      <c r="B161" s="3"/>
      <c r="C161" s="3"/>
      <c r="D161" s="3"/>
      <c r="E161" s="3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s="2" customFormat="1" x14ac:dyDescent="0.25">
      <c r="B162" s="3"/>
      <c r="C162" s="3"/>
      <c r="D162" s="3"/>
      <c r="E162" s="3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s="2" customFormat="1" x14ac:dyDescent="0.25">
      <c r="B163" s="3"/>
      <c r="C163" s="3"/>
      <c r="D163" s="3"/>
      <c r="E163" s="3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s="2" customFormat="1" x14ac:dyDescent="0.25">
      <c r="B164" s="3"/>
      <c r="C164" s="3"/>
      <c r="D164" s="3"/>
      <c r="E164" s="3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s="2" customFormat="1" x14ac:dyDescent="0.25">
      <c r="B165" s="3"/>
      <c r="C165" s="3"/>
      <c r="D165" s="3"/>
      <c r="E165" s="3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s="2" customFormat="1" x14ac:dyDescent="0.25">
      <c r="B166" s="3"/>
      <c r="C166" s="3"/>
      <c r="D166" s="3"/>
      <c r="E166" s="3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s="2" customFormat="1" x14ac:dyDescent="0.25">
      <c r="B167" s="3"/>
      <c r="C167" s="3"/>
      <c r="D167" s="3"/>
      <c r="E167" s="3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s="2" customFormat="1" x14ac:dyDescent="0.25">
      <c r="B168" s="3"/>
      <c r="C168" s="3"/>
      <c r="D168" s="3"/>
      <c r="E168" s="3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s="2" customFormat="1" x14ac:dyDescent="0.25">
      <c r="B169" s="3"/>
      <c r="C169" s="3"/>
      <c r="D169" s="3"/>
      <c r="E169" s="3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s="2" customFormat="1" x14ac:dyDescent="0.25">
      <c r="B170" s="3"/>
      <c r="C170" s="3"/>
      <c r="D170" s="3"/>
      <c r="E170" s="3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s="2" customFormat="1" x14ac:dyDescent="0.25">
      <c r="B171" s="3"/>
      <c r="C171" s="3"/>
      <c r="D171" s="3"/>
      <c r="E171" s="3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s="2" customFormat="1" x14ac:dyDescent="0.25">
      <c r="B172" s="3"/>
      <c r="C172" s="3"/>
      <c r="D172" s="3"/>
      <c r="E172" s="3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s="2" customFormat="1" x14ac:dyDescent="0.25">
      <c r="B173" s="3"/>
      <c r="C173" s="3"/>
      <c r="D173" s="3"/>
      <c r="E173" s="3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s="2" customFormat="1" x14ac:dyDescent="0.25">
      <c r="B174" s="3"/>
      <c r="C174" s="3"/>
      <c r="D174" s="3"/>
      <c r="E174" s="3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s="2" customFormat="1" x14ac:dyDescent="0.25">
      <c r="B175" s="3"/>
      <c r="C175" s="3"/>
      <c r="D175" s="3"/>
      <c r="E175" s="3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s="2" customFormat="1" x14ac:dyDescent="0.25">
      <c r="B176" s="3"/>
      <c r="C176" s="3"/>
      <c r="D176" s="3"/>
      <c r="E176" s="3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s="2" customFormat="1" x14ac:dyDescent="0.25">
      <c r="B177" s="3"/>
      <c r="C177" s="3"/>
      <c r="D177" s="3"/>
      <c r="E177" s="3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s="2" customFormat="1" x14ac:dyDescent="0.25">
      <c r="B178" s="3"/>
      <c r="C178" s="3"/>
      <c r="D178" s="3"/>
      <c r="E178" s="3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s="2" customFormat="1" x14ac:dyDescent="0.25">
      <c r="B179" s="3"/>
      <c r="C179" s="3"/>
      <c r="D179" s="3"/>
      <c r="E179" s="3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s="2" customFormat="1" x14ac:dyDescent="0.25">
      <c r="B180" s="3"/>
      <c r="C180" s="3"/>
      <c r="D180" s="3"/>
      <c r="E180" s="3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s="2" customFormat="1" x14ac:dyDescent="0.25">
      <c r="B181" s="3"/>
      <c r="C181" s="3"/>
      <c r="D181" s="3"/>
      <c r="E181" s="3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s="2" customFormat="1" x14ac:dyDescent="0.25">
      <c r="B182" s="3"/>
      <c r="C182" s="3"/>
      <c r="D182" s="3"/>
      <c r="E182" s="3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s="2" customFormat="1" x14ac:dyDescent="0.25">
      <c r="B183" s="3"/>
      <c r="C183" s="3"/>
      <c r="D183" s="3"/>
      <c r="E183" s="3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s="2" customFormat="1" x14ac:dyDescent="0.25">
      <c r="B184" s="3"/>
      <c r="C184" s="3"/>
      <c r="D184" s="3"/>
      <c r="E184" s="3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s="2" customFormat="1" x14ac:dyDescent="0.25">
      <c r="B185" s="3"/>
      <c r="C185" s="3"/>
      <c r="D185" s="3"/>
      <c r="E185" s="3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s="2" customFormat="1" x14ac:dyDescent="0.25">
      <c r="B186" s="3"/>
      <c r="C186" s="3"/>
      <c r="D186" s="3"/>
      <c r="E186" s="3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s="2" customFormat="1" x14ac:dyDescent="0.25">
      <c r="B187" s="3"/>
      <c r="C187" s="3"/>
      <c r="D187" s="3"/>
      <c r="E187" s="3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s="2" customFormat="1" x14ac:dyDescent="0.25">
      <c r="B188" s="3"/>
      <c r="C188" s="3"/>
      <c r="D188" s="3"/>
      <c r="E188" s="3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s="2" customFormat="1" x14ac:dyDescent="0.25">
      <c r="B189" s="3"/>
      <c r="C189" s="3"/>
      <c r="D189" s="3"/>
      <c r="E189" s="3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s="2" customFormat="1" x14ac:dyDescent="0.25">
      <c r="B190" s="3"/>
      <c r="C190" s="3"/>
      <c r="D190" s="3"/>
      <c r="E190" s="3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s="2" customFormat="1" x14ac:dyDescent="0.25">
      <c r="B191" s="3"/>
      <c r="C191" s="3"/>
      <c r="D191" s="3"/>
      <c r="E191" s="3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s="2" customFormat="1" x14ac:dyDescent="0.25">
      <c r="B192" s="3"/>
      <c r="C192" s="3"/>
      <c r="D192" s="3"/>
      <c r="E192" s="3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s="2" customFormat="1" x14ac:dyDescent="0.25">
      <c r="B193" s="3"/>
      <c r="C193" s="3"/>
      <c r="D193" s="3"/>
      <c r="E193" s="3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s="2" customFormat="1" x14ac:dyDescent="0.25">
      <c r="B194" s="3"/>
      <c r="C194" s="3"/>
      <c r="D194" s="3"/>
      <c r="E194" s="3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s="2" customFormat="1" x14ac:dyDescent="0.25">
      <c r="B195" s="3"/>
      <c r="C195" s="3"/>
      <c r="D195" s="3"/>
      <c r="E195" s="3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s="2" customFormat="1" x14ac:dyDescent="0.25">
      <c r="B196" s="3"/>
      <c r="C196" s="3"/>
      <c r="D196" s="3"/>
      <c r="E196" s="3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s="2" customFormat="1" x14ac:dyDescent="0.25">
      <c r="B197" s="3"/>
      <c r="C197" s="3"/>
      <c r="D197" s="3"/>
      <c r="E197" s="3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s="2" customFormat="1" x14ac:dyDescent="0.25">
      <c r="B198" s="3"/>
      <c r="C198" s="3"/>
      <c r="D198" s="3"/>
      <c r="E198" s="3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s="2" customFormat="1" x14ac:dyDescent="0.25">
      <c r="B199" s="3"/>
      <c r="C199" s="3"/>
      <c r="D199" s="3"/>
      <c r="E199" s="3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s="2" customFormat="1" x14ac:dyDescent="0.25">
      <c r="B200" s="3"/>
      <c r="C200" s="3"/>
      <c r="D200" s="3"/>
      <c r="E200" s="3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s="2" customFormat="1" x14ac:dyDescent="0.25">
      <c r="B201" s="3"/>
      <c r="C201" s="3"/>
      <c r="D201" s="3"/>
      <c r="E201" s="3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s="2" customFormat="1" x14ac:dyDescent="0.25">
      <c r="B202" s="3"/>
      <c r="C202" s="3"/>
      <c r="D202" s="3"/>
      <c r="E202" s="3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s="2" customFormat="1" x14ac:dyDescent="0.25">
      <c r="B203" s="3"/>
      <c r="C203" s="3"/>
      <c r="D203" s="3"/>
      <c r="E203" s="3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s="2" customFormat="1" x14ac:dyDescent="0.25">
      <c r="B204" s="3"/>
      <c r="C204" s="3"/>
      <c r="D204" s="3"/>
      <c r="E204" s="3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s="2" customFormat="1" x14ac:dyDescent="0.25">
      <c r="B205" s="3"/>
      <c r="C205" s="3"/>
      <c r="D205" s="3"/>
      <c r="E205" s="3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s="2" customFormat="1" x14ac:dyDescent="0.25">
      <c r="B206" s="3"/>
      <c r="C206" s="3"/>
      <c r="D206" s="3"/>
      <c r="E206" s="3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s="2" customFormat="1" x14ac:dyDescent="0.25">
      <c r="B207" s="3"/>
      <c r="C207" s="3"/>
      <c r="D207" s="3"/>
      <c r="E207" s="3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s="2" customFormat="1" x14ac:dyDescent="0.25">
      <c r="B208" s="3"/>
      <c r="C208" s="3"/>
      <c r="D208" s="3"/>
      <c r="E208" s="3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s="2" customFormat="1" x14ac:dyDescent="0.25">
      <c r="B209" s="3"/>
      <c r="C209" s="3"/>
      <c r="D209" s="3"/>
      <c r="E209" s="3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s="2" customFormat="1" x14ac:dyDescent="0.25">
      <c r="B210" s="3"/>
      <c r="C210" s="3"/>
      <c r="D210" s="3"/>
      <c r="E210" s="3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s="2" customFormat="1" x14ac:dyDescent="0.25">
      <c r="B211" s="3"/>
      <c r="C211" s="3"/>
      <c r="D211" s="3"/>
      <c r="E211" s="3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s="2" customFormat="1" x14ac:dyDescent="0.25">
      <c r="B212" s="3"/>
      <c r="C212" s="3"/>
      <c r="D212" s="3"/>
      <c r="E212" s="3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s="2" customFormat="1" x14ac:dyDescent="0.25">
      <c r="B213" s="3"/>
      <c r="C213" s="3"/>
      <c r="D213" s="3"/>
      <c r="E213" s="3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s="2" customFormat="1" x14ac:dyDescent="0.25">
      <c r="B214" s="3"/>
      <c r="C214" s="3"/>
      <c r="D214" s="3"/>
      <c r="E214" s="3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s="2" customFormat="1" x14ac:dyDescent="0.25">
      <c r="B215" s="3"/>
      <c r="C215" s="3"/>
      <c r="D215" s="3"/>
      <c r="E215" s="3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s="2" customFormat="1" x14ac:dyDescent="0.25">
      <c r="B216" s="3"/>
      <c r="C216" s="3"/>
      <c r="D216" s="3"/>
      <c r="E216" s="3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s="2" customFormat="1" x14ac:dyDescent="0.25">
      <c r="B217" s="3"/>
      <c r="C217" s="3"/>
      <c r="D217" s="3"/>
      <c r="E217" s="3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s="2" customFormat="1" x14ac:dyDescent="0.25">
      <c r="B218" s="3"/>
      <c r="C218" s="3"/>
      <c r="D218" s="3"/>
      <c r="E218" s="3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s="2" customFormat="1" x14ac:dyDescent="0.25">
      <c r="B219" s="3"/>
      <c r="C219" s="3"/>
      <c r="D219" s="3"/>
      <c r="E219" s="3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s="2" customFormat="1" x14ac:dyDescent="0.25">
      <c r="B220" s="3"/>
      <c r="C220" s="3"/>
      <c r="D220" s="3"/>
      <c r="E220" s="3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s="2" customFormat="1" x14ac:dyDescent="0.25">
      <c r="B221" s="3"/>
      <c r="C221" s="3"/>
      <c r="D221" s="3"/>
      <c r="E221" s="3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s="2" customFormat="1" x14ac:dyDescent="0.25">
      <c r="B222" s="3"/>
      <c r="C222" s="3"/>
      <c r="D222" s="3"/>
      <c r="E222" s="3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s="2" customFormat="1" x14ac:dyDescent="0.25">
      <c r="B223" s="3"/>
      <c r="C223" s="3"/>
      <c r="D223" s="3"/>
      <c r="E223" s="3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s="2" customFormat="1" x14ac:dyDescent="0.25">
      <c r="B224" s="3"/>
      <c r="C224" s="3"/>
      <c r="D224" s="3"/>
      <c r="E224" s="3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s="2" customFormat="1" x14ac:dyDescent="0.25">
      <c r="B225" s="3"/>
      <c r="C225" s="3"/>
      <c r="D225" s="3"/>
      <c r="E225" s="3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s="2" customFormat="1" x14ac:dyDescent="0.25">
      <c r="B226" s="3"/>
      <c r="C226" s="3"/>
      <c r="D226" s="3"/>
      <c r="E226" s="3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s="2" customFormat="1" x14ac:dyDescent="0.25">
      <c r="B227" s="3"/>
      <c r="C227" s="3"/>
      <c r="D227" s="3"/>
      <c r="E227" s="3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s="2" customFormat="1" x14ac:dyDescent="0.25">
      <c r="B228" s="3"/>
      <c r="C228" s="3"/>
      <c r="D228" s="3"/>
      <c r="E228" s="3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s="2" customFormat="1" x14ac:dyDescent="0.25">
      <c r="B229" s="3"/>
      <c r="C229" s="3"/>
      <c r="D229" s="3"/>
      <c r="E229" s="3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s="2" customFormat="1" x14ac:dyDescent="0.25">
      <c r="B230" s="3"/>
      <c r="C230" s="3"/>
      <c r="D230" s="3"/>
      <c r="E230" s="3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s="2" customFormat="1" x14ac:dyDescent="0.25">
      <c r="B231" s="3"/>
      <c r="C231" s="3"/>
      <c r="D231" s="3"/>
      <c r="E231" s="3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s="2" customFormat="1" x14ac:dyDescent="0.25">
      <c r="B232" s="3"/>
      <c r="C232" s="3"/>
      <c r="D232" s="3"/>
      <c r="E232" s="3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s="2" customFormat="1" x14ac:dyDescent="0.25">
      <c r="B233" s="3"/>
      <c r="C233" s="3"/>
      <c r="D233" s="3"/>
      <c r="E233" s="3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s="2" customFormat="1" x14ac:dyDescent="0.25">
      <c r="B234" s="3"/>
      <c r="C234" s="3"/>
      <c r="D234" s="3"/>
      <c r="E234" s="3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s="2" customFormat="1" x14ac:dyDescent="0.25">
      <c r="B235" s="3"/>
      <c r="C235" s="3"/>
      <c r="D235" s="3"/>
      <c r="E235" s="3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s="2" customFormat="1" x14ac:dyDescent="0.25">
      <c r="B236" s="3"/>
      <c r="C236" s="3"/>
      <c r="D236" s="3"/>
      <c r="E236" s="3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s="2" customFormat="1" x14ac:dyDescent="0.25">
      <c r="B237" s="3"/>
      <c r="C237" s="3"/>
      <c r="D237" s="3"/>
      <c r="E237" s="3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s="2" customFormat="1" x14ac:dyDescent="0.25">
      <c r="B238" s="3"/>
      <c r="C238" s="3"/>
      <c r="D238" s="3"/>
      <c r="E238" s="3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s="2" customFormat="1" x14ac:dyDescent="0.25">
      <c r="B239" s="3"/>
      <c r="C239" s="3"/>
      <c r="D239" s="3"/>
      <c r="E239" s="3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s="2" customFormat="1" x14ac:dyDescent="0.25">
      <c r="B240" s="3"/>
      <c r="C240" s="3"/>
      <c r="D240" s="3"/>
      <c r="E240" s="3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s="2" customFormat="1" x14ac:dyDescent="0.25">
      <c r="B241" s="3"/>
      <c r="C241" s="3"/>
      <c r="D241" s="3"/>
      <c r="E241" s="3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s="2" customFormat="1" x14ac:dyDescent="0.25">
      <c r="B242" s="3"/>
      <c r="C242" s="3"/>
      <c r="D242" s="3"/>
      <c r="E242" s="3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s="2" customFormat="1" x14ac:dyDescent="0.25">
      <c r="B243" s="3"/>
      <c r="C243" s="3"/>
      <c r="D243" s="3"/>
      <c r="E243" s="3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s="2" customFormat="1" x14ac:dyDescent="0.25">
      <c r="B244" s="3"/>
      <c r="C244" s="3"/>
      <c r="D244" s="3"/>
      <c r="E244" s="3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s="2" customFormat="1" x14ac:dyDescent="0.25">
      <c r="B245" s="3"/>
      <c r="C245" s="3"/>
      <c r="D245" s="3"/>
      <c r="E245" s="3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s="2" customFormat="1" x14ac:dyDescent="0.25">
      <c r="B246" s="3"/>
      <c r="C246" s="3"/>
      <c r="D246" s="3"/>
      <c r="E246" s="3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s="2" customFormat="1" x14ac:dyDescent="0.25">
      <c r="B247" s="3"/>
      <c r="C247" s="3"/>
      <c r="D247" s="3"/>
      <c r="E247" s="3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s="2" customFormat="1" x14ac:dyDescent="0.25">
      <c r="B248" s="3"/>
      <c r="C248" s="3"/>
      <c r="D248" s="3"/>
      <c r="E248" s="3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s="2" customFormat="1" x14ac:dyDescent="0.25">
      <c r="B249" s="3"/>
      <c r="C249" s="3"/>
      <c r="D249" s="3"/>
      <c r="E249" s="3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s="2" customFormat="1" x14ac:dyDescent="0.25">
      <c r="B250" s="3"/>
      <c r="C250" s="3"/>
      <c r="D250" s="3"/>
      <c r="E250" s="3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s="2" customFormat="1" x14ac:dyDescent="0.25">
      <c r="B251" s="3"/>
      <c r="C251" s="3"/>
      <c r="D251" s="3"/>
      <c r="E251" s="3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s="2" customFormat="1" x14ac:dyDescent="0.25">
      <c r="B252" s="3"/>
      <c r="C252" s="3"/>
      <c r="D252" s="3"/>
      <c r="E252" s="3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s="2" customFormat="1" x14ac:dyDescent="0.25">
      <c r="B253" s="3"/>
      <c r="C253" s="3"/>
      <c r="D253" s="3"/>
      <c r="E253" s="3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s="2" customFormat="1" x14ac:dyDescent="0.25">
      <c r="B254" s="3"/>
      <c r="C254" s="3"/>
      <c r="D254" s="3"/>
      <c r="E254" s="3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s="2" customFormat="1" x14ac:dyDescent="0.25">
      <c r="B255" s="3"/>
      <c r="C255" s="3"/>
      <c r="D255" s="3"/>
      <c r="E255" s="3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s="2" customFormat="1" x14ac:dyDescent="0.25">
      <c r="B256" s="3"/>
      <c r="C256" s="3"/>
      <c r="D256" s="3"/>
      <c r="E256" s="3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s="2" customFormat="1" x14ac:dyDescent="0.25">
      <c r="B257" s="3"/>
      <c r="C257" s="3"/>
      <c r="D257" s="3"/>
      <c r="E257" s="3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s="2" customFormat="1" x14ac:dyDescent="0.25">
      <c r="B258" s="3"/>
      <c r="C258" s="3"/>
      <c r="D258" s="3"/>
      <c r="E258" s="3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s="2" customFormat="1" x14ac:dyDescent="0.25">
      <c r="B259" s="3"/>
      <c r="C259" s="3"/>
      <c r="D259" s="3"/>
      <c r="E259" s="3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s="2" customFormat="1" x14ac:dyDescent="0.25">
      <c r="B260" s="3"/>
      <c r="C260" s="3"/>
      <c r="D260" s="3"/>
      <c r="E260" s="3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s="2" customFormat="1" x14ac:dyDescent="0.25">
      <c r="B261" s="3"/>
      <c r="C261" s="3"/>
      <c r="D261" s="3"/>
      <c r="E261" s="3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s="2" customFormat="1" x14ac:dyDescent="0.25">
      <c r="B262" s="3"/>
      <c r="C262" s="3"/>
      <c r="D262" s="3"/>
      <c r="E262" s="3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s="2" customFormat="1" x14ac:dyDescent="0.25">
      <c r="B263" s="3"/>
      <c r="C263" s="3"/>
      <c r="D263" s="3"/>
      <c r="E263" s="3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s="2" customFormat="1" x14ac:dyDescent="0.25">
      <c r="B264" s="3"/>
      <c r="C264" s="3"/>
      <c r="D264" s="3"/>
      <c r="E264" s="3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s="2" customFormat="1" x14ac:dyDescent="0.25">
      <c r="B265" s="3"/>
      <c r="C265" s="3"/>
      <c r="D265" s="3"/>
      <c r="E265" s="3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s="2" customFormat="1" x14ac:dyDescent="0.25">
      <c r="B266" s="3"/>
      <c r="C266" s="3"/>
      <c r="D266" s="3"/>
      <c r="E266" s="3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s="2" customFormat="1" x14ac:dyDescent="0.25">
      <c r="B267" s="3"/>
      <c r="C267" s="3"/>
      <c r="D267" s="3"/>
      <c r="E267" s="3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s="2" customFormat="1" x14ac:dyDescent="0.25">
      <c r="B268" s="3"/>
      <c r="C268" s="3"/>
      <c r="D268" s="3"/>
      <c r="E268" s="3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s="2" customFormat="1" x14ac:dyDescent="0.25">
      <c r="B269" s="3"/>
      <c r="C269" s="3"/>
      <c r="D269" s="3"/>
      <c r="E269" s="3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s="2" customFormat="1" x14ac:dyDescent="0.25">
      <c r="B270" s="3"/>
      <c r="C270" s="3"/>
      <c r="D270" s="3"/>
      <c r="E270" s="3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s="2" customFormat="1" x14ac:dyDescent="0.25">
      <c r="B271" s="3"/>
      <c r="C271" s="3"/>
      <c r="D271" s="3"/>
      <c r="E271" s="3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s="2" customFormat="1" x14ac:dyDescent="0.25">
      <c r="B272" s="3"/>
      <c r="C272" s="3"/>
      <c r="D272" s="3"/>
      <c r="E272" s="3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s="2" customFormat="1" x14ac:dyDescent="0.25">
      <c r="B273" s="3"/>
      <c r="C273" s="3"/>
      <c r="D273" s="3"/>
      <c r="E273" s="3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s="2" customFormat="1" x14ac:dyDescent="0.25">
      <c r="B274" s="3"/>
      <c r="C274" s="3"/>
      <c r="D274" s="3"/>
      <c r="E274" s="3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s="2" customFormat="1" x14ac:dyDescent="0.25">
      <c r="B275" s="3"/>
      <c r="C275" s="3"/>
      <c r="D275" s="3"/>
      <c r="E275" s="3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s="2" customFormat="1" x14ac:dyDescent="0.25">
      <c r="B276" s="3"/>
      <c r="C276" s="3"/>
      <c r="D276" s="3"/>
      <c r="E276" s="3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s="2" customFormat="1" x14ac:dyDescent="0.25">
      <c r="B277" s="3"/>
      <c r="C277" s="3"/>
      <c r="D277" s="3"/>
      <c r="E277" s="3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s="2" customFormat="1" x14ac:dyDescent="0.25">
      <c r="B278" s="3"/>
      <c r="C278" s="3"/>
      <c r="D278" s="3"/>
      <c r="E278" s="3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s="2" customFormat="1" x14ac:dyDescent="0.25">
      <c r="B279" s="3"/>
      <c r="C279" s="3"/>
      <c r="D279" s="3"/>
      <c r="E279" s="3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s="2" customFormat="1" x14ac:dyDescent="0.25">
      <c r="B280" s="3"/>
      <c r="C280" s="3"/>
      <c r="D280" s="3"/>
      <c r="E280" s="3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s="2" customFormat="1" x14ac:dyDescent="0.25">
      <c r="B281" s="3"/>
      <c r="C281" s="3"/>
      <c r="D281" s="3"/>
      <c r="E281" s="3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s="2" customFormat="1" x14ac:dyDescent="0.25">
      <c r="B282" s="3"/>
      <c r="C282" s="3"/>
      <c r="D282" s="3"/>
      <c r="E282" s="3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s="2" customFormat="1" x14ac:dyDescent="0.25">
      <c r="B283" s="3"/>
      <c r="C283" s="3"/>
      <c r="D283" s="3"/>
      <c r="E283" s="3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s="2" customFormat="1" x14ac:dyDescent="0.25">
      <c r="B284" s="3"/>
      <c r="C284" s="3"/>
      <c r="D284" s="3"/>
      <c r="E284" s="3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s="2" customFormat="1" x14ac:dyDescent="0.25">
      <c r="B285" s="3"/>
      <c r="C285" s="3"/>
      <c r="D285" s="3"/>
      <c r="E285" s="3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s="2" customFormat="1" x14ac:dyDescent="0.25">
      <c r="B286" s="3"/>
      <c r="C286" s="3"/>
      <c r="D286" s="3"/>
      <c r="E286" s="3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s="2" customFormat="1" x14ac:dyDescent="0.25">
      <c r="B287" s="3"/>
      <c r="C287" s="3"/>
      <c r="D287" s="3"/>
      <c r="E287" s="3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s="2" customFormat="1" x14ac:dyDescent="0.25">
      <c r="B288" s="3"/>
      <c r="C288" s="3"/>
      <c r="D288" s="3"/>
      <c r="E288" s="3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s="2" customFormat="1" x14ac:dyDescent="0.25">
      <c r="B289" s="3"/>
      <c r="C289" s="3"/>
      <c r="D289" s="3"/>
      <c r="E289" s="3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s="2" customFormat="1" x14ac:dyDescent="0.25">
      <c r="B290" s="3"/>
      <c r="C290" s="3"/>
      <c r="D290" s="3"/>
      <c r="E290" s="3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s="2" customFormat="1" x14ac:dyDescent="0.25">
      <c r="B291" s="3"/>
      <c r="C291" s="3"/>
      <c r="D291" s="3"/>
      <c r="E291" s="3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s="2" customFormat="1" x14ac:dyDescent="0.25">
      <c r="B292" s="3"/>
      <c r="C292" s="3"/>
      <c r="D292" s="3"/>
      <c r="E292" s="3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s="2" customFormat="1" x14ac:dyDescent="0.25">
      <c r="B293" s="3"/>
      <c r="C293" s="3"/>
      <c r="D293" s="3"/>
      <c r="E293" s="3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s="2" customFormat="1" x14ac:dyDescent="0.25">
      <c r="B294" s="3"/>
      <c r="C294" s="3"/>
      <c r="D294" s="3"/>
      <c r="E294" s="3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s="2" customFormat="1" x14ac:dyDescent="0.25">
      <c r="B295" s="3"/>
      <c r="C295" s="3"/>
      <c r="D295" s="3"/>
      <c r="E295" s="3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s="2" customFormat="1" x14ac:dyDescent="0.25">
      <c r="B296" s="3"/>
      <c r="C296" s="3"/>
      <c r="D296" s="3"/>
      <c r="E296" s="3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s="2" customFormat="1" x14ac:dyDescent="0.25">
      <c r="B297" s="3"/>
      <c r="C297" s="3"/>
      <c r="D297" s="3"/>
      <c r="E297" s="3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s="2" customFormat="1" x14ac:dyDescent="0.25">
      <c r="B298" s="3"/>
      <c r="C298" s="3"/>
      <c r="D298" s="3"/>
      <c r="E298" s="3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s="2" customFormat="1" x14ac:dyDescent="0.25">
      <c r="B299" s="3"/>
      <c r="C299" s="3"/>
      <c r="D299" s="3"/>
      <c r="E299" s="3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s="2" customFormat="1" x14ac:dyDescent="0.25">
      <c r="B300" s="3"/>
      <c r="C300" s="3"/>
      <c r="D300" s="3"/>
      <c r="E300" s="3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s="2" customFormat="1" x14ac:dyDescent="0.25">
      <c r="B301" s="3"/>
      <c r="C301" s="3"/>
      <c r="D301" s="3"/>
      <c r="E301" s="3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s="2" customFormat="1" x14ac:dyDescent="0.25">
      <c r="B302" s="3"/>
      <c r="C302" s="3"/>
      <c r="D302" s="3"/>
      <c r="E302" s="3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s="2" customFormat="1" x14ac:dyDescent="0.25">
      <c r="B303" s="3"/>
      <c r="C303" s="3"/>
      <c r="D303" s="3"/>
      <c r="E303" s="3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s="2" customFormat="1" x14ac:dyDescent="0.25">
      <c r="B304" s="3"/>
      <c r="C304" s="3"/>
      <c r="D304" s="3"/>
      <c r="E304" s="3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s="2" customFormat="1" x14ac:dyDescent="0.25">
      <c r="B305" s="3"/>
      <c r="C305" s="3"/>
      <c r="D305" s="3"/>
      <c r="E305" s="3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s="2" customFormat="1" x14ac:dyDescent="0.25">
      <c r="B306" s="3"/>
      <c r="C306" s="3"/>
      <c r="D306" s="3"/>
      <c r="E306" s="3"/>
      <c r="H306" s="6"/>
      <c r="I306" s="6"/>
      <c r="J306" s="6"/>
      <c r="K306" s="6"/>
      <c r="L306" s="6"/>
      <c r="M306" s="6"/>
      <c r="N306" s="6"/>
      <c r="O306" s="6"/>
      <c r="P306" s="6"/>
      <c r="Q306" s="6"/>
    </row>
  </sheetData>
  <customSheetViews>
    <customSheetView guid="{20C5E4A5-3D43-4928-9749-C7DDD9EDEB1F}" scale="60" showPageBreaks="1" fitToPage="1" hiddenRows="1">
      <selection activeCell="J4" sqref="J4"/>
      <pageMargins left="0.2" right="0.2" top="0.17" bottom="0.17" header="0.17" footer="0.17"/>
      <pageSetup paperSize="9" scale="10" fitToHeight="0" orientation="landscape" r:id="rId1"/>
    </customSheetView>
    <customSheetView guid="{75A53E4C-4F6F-4A71-95C4-C400AC6F04D4}" scale="60" showPageBreaks="1" fitToPage="1" hiddenRows="1" topLeftCell="A55">
      <selection activeCell="H48" sqref="H48:R48"/>
      <pageMargins left="0.2" right="0.2" top="0.17" bottom="0.17" header="0.17" footer="0.17"/>
      <pageSetup paperSize="9" scale="10" fitToHeight="0" orientation="landscape" r:id="rId2"/>
    </customSheetView>
    <customSheetView guid="{0E975661-CA74-4C7B-B211-DB169883E34E}" scale="60" fitToPage="1" hiddenRows="1">
      <selection activeCell="A10" sqref="A10:XFD10"/>
      <pageMargins left="0.2" right="0.2" top="0.17" bottom="0.17" header="0.17" footer="0.17"/>
      <pageSetup paperSize="9" scale="10" fitToHeight="0" orientation="landscape" r:id="rId3"/>
    </customSheetView>
    <customSheetView guid="{3CCF9F74-4B3F-4E78-B359-764A877D07DD}" scale="60" showPageBreaks="1" fitToPage="1" hiddenRows="1" topLeftCell="A16">
      <selection activeCell="L23" sqref="L23"/>
      <pageMargins left="0.2" right="0.2" top="0.17" bottom="0.17" header="0.17" footer="0.17"/>
      <pageSetup paperSize="9" scale="10" fitToHeight="0" orientation="landscape" r:id="rId4"/>
    </customSheetView>
    <customSheetView guid="{CA4C341A-4123-4F51-BBCE-A078E8552788}" scale="60" showPageBreaks="1" fitToPage="1" hiddenRows="1">
      <selection activeCell="A5" sqref="A5:S5"/>
      <pageMargins left="0.2" right="0.2" top="0.17" bottom="0.17" header="0.17" footer="0.17"/>
      <pageSetup paperSize="9" scale="10" fitToHeight="0" orientation="landscape" r:id="rId5"/>
    </customSheetView>
    <customSheetView guid="{DE2378A8-3E24-4174-BCD2-FF1979315585}" scale="60" showPageBreaks="1" fitToPage="1" hiddenRows="1" topLeftCell="A101">
      <selection activeCell="W104" sqref="W104"/>
      <pageMargins left="0.2" right="0.2" top="0.17" bottom="0.17" header="0.17" footer="0.17"/>
      <pageSetup paperSize="9" scale="10" fitToHeight="0" orientation="landscape" r:id="rId6"/>
    </customSheetView>
    <customSheetView guid="{4492E150-292F-45F6-AC31-F3F194B83A7E}" scale="60" showPageBreaks="1" fitToPage="1" printArea="1" hiddenRows="1" topLeftCell="A96">
      <selection activeCell="C101" sqref="C101"/>
      <rowBreaks count="2" manualBreakCount="2">
        <brk id="43" max="23" man="1"/>
        <brk id="100" max="23" man="1"/>
      </rowBreaks>
      <pageMargins left="0.2" right="0.2" top="0.17" bottom="0.17" header="0.17" footer="0.17"/>
      <pageSetup paperSize="9" scale="36" fitToHeight="0" orientation="landscape" r:id="rId7"/>
    </customSheetView>
    <customSheetView guid="{DFD1C3D8-FEAD-43AB-9482-DDDFCF9D41ED}" scale="60" showPageBreaks="1" fitToPage="1" hiddenRows="1">
      <selection activeCell="A2" sqref="A2"/>
      <pageMargins left="0.2" right="0.2" top="0.17" bottom="0.17" header="0.17" footer="0.17"/>
      <pageSetup paperSize="9" scale="10" fitToHeight="0" orientation="landscape" r:id="rId8"/>
    </customSheetView>
  </customSheetViews>
  <mergeCells count="33">
    <mergeCell ref="H108:V108"/>
    <mergeCell ref="A106:A107"/>
    <mergeCell ref="B106:B107"/>
    <mergeCell ref="E106:E107"/>
    <mergeCell ref="A103:X103"/>
    <mergeCell ref="A101:A102"/>
    <mergeCell ref="B101:B102"/>
    <mergeCell ref="D101:D102"/>
    <mergeCell ref="E101:E102"/>
    <mergeCell ref="F101:G101"/>
    <mergeCell ref="C101:C102"/>
    <mergeCell ref="H101:H102"/>
    <mergeCell ref="I101:I102"/>
    <mergeCell ref="S101:V101"/>
    <mergeCell ref="W101:W102"/>
    <mergeCell ref="X101:X102"/>
    <mergeCell ref="J101:N101"/>
    <mergeCell ref="O101:R101"/>
    <mergeCell ref="A24:S24"/>
    <mergeCell ref="A30:S30"/>
    <mergeCell ref="A96:S96"/>
    <mergeCell ref="A3:A4"/>
    <mergeCell ref="B3:B4"/>
    <mergeCell ref="D3:D4"/>
    <mergeCell ref="E3:E4"/>
    <mergeCell ref="F3:G3"/>
    <mergeCell ref="J3:M3"/>
    <mergeCell ref="N3:Q3"/>
    <mergeCell ref="I3:I4"/>
    <mergeCell ref="H3:H4"/>
    <mergeCell ref="R3:R4"/>
    <mergeCell ref="S3:S4"/>
    <mergeCell ref="A5:S5"/>
  </mergeCells>
  <pageMargins left="0.2" right="0.2" top="0.17" bottom="0.17" header="0.17" footer="0.17"/>
  <pageSetup paperSize="9" scale="36" fitToHeight="0" orientation="landscape" r:id="rId9"/>
  <rowBreaks count="2" manualBreakCount="2">
    <brk id="43" max="23" man="1"/>
    <brk id="10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учреждений</vt:lpstr>
      <vt:lpstr>'Реестр учреждений'!Заголовки_для_печати</vt:lpstr>
      <vt:lpstr>'Реестр учреждений'!Область_печати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FinUprD1</cp:lastModifiedBy>
  <cp:lastPrinted>2023-01-25T06:57:49Z</cp:lastPrinted>
  <dcterms:created xsi:type="dcterms:W3CDTF">2017-01-31T11:17:53Z</dcterms:created>
  <dcterms:modified xsi:type="dcterms:W3CDTF">2023-01-25T11:26:36Z</dcterms:modified>
</cp:coreProperties>
</file>