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Культура 2017" sheetId="15" r:id="rId1"/>
    <sheet name="Лист3 (2)" sheetId="16" r:id="rId2"/>
    <sheet name="Лист3" sheetId="1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4" i="15" l="1"/>
  <c r="F24" i="15"/>
  <c r="G24" i="15"/>
  <c r="H5" i="15"/>
  <c r="E80" i="15" l="1"/>
  <c r="L79" i="15"/>
  <c r="L70" i="15" s="1"/>
  <c r="L82" i="15" s="1"/>
  <c r="E79" i="15"/>
  <c r="L78" i="15"/>
  <c r="E78" i="15"/>
  <c r="L76" i="15"/>
  <c r="E76" i="15"/>
  <c r="E75" i="15"/>
  <c r="E74" i="15"/>
  <c r="L73" i="15"/>
  <c r="L72" i="15" s="1"/>
  <c r="E70" i="15"/>
  <c r="L68" i="15"/>
  <c r="E68" i="15"/>
  <c r="E67" i="15"/>
  <c r="E66" i="15"/>
  <c r="E65" i="15"/>
  <c r="E64" i="15"/>
  <c r="L57" i="15"/>
  <c r="L50" i="15" s="1"/>
  <c r="E57" i="15"/>
  <c r="E53" i="15"/>
  <c r="E52" i="15"/>
  <c r="E51" i="15"/>
  <c r="E50" i="15"/>
  <c r="I46" i="15"/>
  <c r="E46" i="15"/>
  <c r="J45" i="15"/>
  <c r="G45" i="15"/>
  <c r="F45" i="15"/>
  <c r="I44" i="15"/>
  <c r="A44" i="15"/>
  <c r="E41" i="15"/>
  <c r="E40" i="15"/>
  <c r="E39" i="15"/>
  <c r="E38" i="15"/>
  <c r="E37" i="15"/>
  <c r="E36" i="15"/>
  <c r="F35" i="15"/>
  <c r="E32" i="15"/>
  <c r="E31" i="15"/>
  <c r="E29" i="15"/>
  <c r="E28" i="15"/>
  <c r="G21" i="15"/>
  <c r="E23" i="15"/>
  <c r="E22" i="15"/>
  <c r="F21" i="15"/>
  <c r="F20" i="15" s="1"/>
  <c r="E19" i="15"/>
  <c r="E18" i="15" s="1"/>
  <c r="E17" i="15" s="1"/>
  <c r="G18" i="15"/>
  <c r="F18" i="15"/>
  <c r="G17" i="15"/>
  <c r="G16" i="15" s="1"/>
  <c r="F17" i="15"/>
  <c r="F16" i="15" s="1"/>
  <c r="E15" i="15"/>
  <c r="E14" i="15"/>
  <c r="G13" i="15"/>
  <c r="G12" i="15" s="1"/>
  <c r="F13" i="15"/>
  <c r="F12" i="15" s="1"/>
  <c r="F11" i="15" s="1"/>
  <c r="E55" i="15" l="1"/>
  <c r="L61" i="15"/>
  <c r="L60" i="15" s="1"/>
  <c r="E16" i="15"/>
  <c r="E73" i="15"/>
  <c r="E72" i="15" s="1"/>
  <c r="F34" i="15"/>
  <c r="F33" i="15" s="1"/>
  <c r="E61" i="15"/>
  <c r="E60" i="15" s="1"/>
  <c r="E59" i="15" s="1"/>
  <c r="E45" i="15" s="1"/>
  <c r="E13" i="15"/>
  <c r="E35" i="15"/>
  <c r="E34" i="15" s="1"/>
  <c r="E33" i="15" s="1"/>
  <c r="L47" i="15"/>
  <c r="L59" i="15"/>
  <c r="L48" i="15" s="1"/>
  <c r="E21" i="15"/>
  <c r="E20" i="15" s="1"/>
  <c r="G20" i="15"/>
  <c r="G11" i="15"/>
  <c r="G10" i="15"/>
  <c r="L46" i="15"/>
  <c r="E56" i="15"/>
  <c r="E82" i="15"/>
  <c r="F10" i="15"/>
  <c r="I45" i="15"/>
  <c r="G35" i="15"/>
  <c r="G34" i="15" s="1"/>
  <c r="G33" i="15" s="1"/>
  <c r="E12" i="15" l="1"/>
  <c r="E11" i="15" s="1"/>
  <c r="E48" i="15"/>
  <c r="L45" i="15"/>
  <c r="F9" i="15"/>
  <c r="F6" i="15"/>
  <c r="F5" i="15" s="1"/>
  <c r="G9" i="15"/>
  <c r="G6" i="15"/>
  <c r="G5" i="15" s="1"/>
  <c r="E10" i="15" l="1"/>
  <c r="E9" i="15" s="1"/>
  <c r="E6" i="15" l="1"/>
  <c r="E5" i="15" s="1"/>
  <c r="D11" i="15" s="1"/>
  <c r="D33" i="15" l="1"/>
  <c r="D20" i="15"/>
  <c r="D16" i="15"/>
  <c r="F8" i="15"/>
  <c r="G8" i="15"/>
  <c r="D9" i="15"/>
  <c r="D5" i="15" s="1"/>
</calcChain>
</file>

<file path=xl/sharedStrings.xml><?xml version="1.0" encoding="utf-8"?>
<sst xmlns="http://schemas.openxmlformats.org/spreadsheetml/2006/main" count="93" uniqueCount="82">
  <si>
    <t>1.</t>
  </si>
  <si>
    <t>Нормативные затраты на оплату труда с начислениями</t>
  </si>
  <si>
    <t>2.</t>
  </si>
  <si>
    <t>Нормативные затраты на приобретение оборудования и расходных материалов</t>
  </si>
  <si>
    <t>3.</t>
  </si>
  <si>
    <t xml:space="preserve">Общехозяйственные нормативные затраты </t>
  </si>
  <si>
    <t>детей</t>
  </si>
  <si>
    <t>Журавлик</t>
  </si>
  <si>
    <t>Новый</t>
  </si>
  <si>
    <t>Базовая стоимость муниципальной услуги</t>
  </si>
  <si>
    <t>нормативные затраты на оплату труда с начислениями</t>
  </si>
  <si>
    <t>нормативные затраты на приобретение оборудования и расходных материалов</t>
  </si>
  <si>
    <t xml:space="preserve">общехозяйственные нормативные затраты </t>
  </si>
  <si>
    <t>1. Нормативные затраты на оплату труда</t>
  </si>
  <si>
    <t>ФОТ педагогического персонала</t>
  </si>
  <si>
    <t>ФОТ административно-управленческого персонала</t>
  </si>
  <si>
    <t>ФОТ вспомогательного персонала</t>
  </si>
  <si>
    <t>Материальная помощь</t>
  </si>
  <si>
    <t>213 эк.ст.</t>
  </si>
  <si>
    <t>Итого с мат.пом.</t>
  </si>
  <si>
    <t>из расчета Деп.обр.БО (211+м/л+213)</t>
  </si>
  <si>
    <t xml:space="preserve">2.Общехозяйственные нормативные затраты </t>
  </si>
  <si>
    <t>На приобретение оборудования и расходных материалов</t>
  </si>
  <si>
    <t>Общехозяйственные нужды</t>
  </si>
  <si>
    <t>221 Услуги связи</t>
  </si>
  <si>
    <t>225 Прочие расходы</t>
  </si>
  <si>
    <t>226 Прочие работы и услуги</t>
  </si>
  <si>
    <t>310 Оборудование ОБ</t>
  </si>
  <si>
    <t>310 Оборудование МБ</t>
  </si>
  <si>
    <t>340 Увеличение стоимости материальных запасов</t>
  </si>
  <si>
    <t>На коммунальные услуги</t>
  </si>
  <si>
    <t>Всего</t>
  </si>
  <si>
    <t>теплоэнергия</t>
  </si>
  <si>
    <t>электроэнергия</t>
  </si>
  <si>
    <t>водоснабжение</t>
  </si>
  <si>
    <t>На питание</t>
  </si>
  <si>
    <t>кол-во детей *247 дней*35 рублей*%</t>
  </si>
  <si>
    <t>140*247*35*77,7085%</t>
  </si>
  <si>
    <t>280*247*35*74,68%</t>
  </si>
  <si>
    <t>МБ</t>
  </si>
  <si>
    <t>1.1.</t>
  </si>
  <si>
    <t>2.2.</t>
  </si>
  <si>
    <t>За счет средств местного бюджета</t>
  </si>
  <si>
    <t>222 Транспортные услуги</t>
  </si>
  <si>
    <t>290 Прочие расходы</t>
  </si>
  <si>
    <t>3.1.</t>
  </si>
  <si>
    <t>3.2.</t>
  </si>
  <si>
    <t>3.3.</t>
  </si>
  <si>
    <t>3.4.</t>
  </si>
  <si>
    <t>3.5.</t>
  </si>
  <si>
    <t>3.6.</t>
  </si>
  <si>
    <t>3.7.</t>
  </si>
  <si>
    <t>Коммунальные услуги</t>
  </si>
  <si>
    <t>3.8.</t>
  </si>
  <si>
    <t>Корректирующий коэффициент</t>
  </si>
  <si>
    <t>Нормативные затраты на оказание единици муниципальной услуги всего</t>
  </si>
  <si>
    <t>А</t>
  </si>
  <si>
    <t>Б</t>
  </si>
  <si>
    <t>290 Налоги</t>
  </si>
  <si>
    <t>Затраты на оказание единици муниципальной услуги всего</t>
  </si>
  <si>
    <t>Нормативные затраты на выполнение муниципального задания</t>
  </si>
  <si>
    <t>%</t>
  </si>
  <si>
    <t>Нормативные затраты на содержание недвижимого и особо ценного движимого имущества районного бюджетного учреждения</t>
  </si>
  <si>
    <t>Средства бюджетов поселений</t>
  </si>
  <si>
    <t>КОСГУ 211 - заработная плата</t>
  </si>
  <si>
    <t>КОСГУ 213 - начисленияна заработную плату</t>
  </si>
  <si>
    <t>263 Коммунальные пенсионерам по 3180 руб.</t>
  </si>
  <si>
    <t>340 Материальные запасы</t>
  </si>
  <si>
    <t>212 Командировочные расходы</t>
  </si>
  <si>
    <t>Ззатраты на выполнение муниципального задания</t>
  </si>
  <si>
    <t xml:space="preserve">Затраты на оплату труда с начислениями </t>
  </si>
  <si>
    <t xml:space="preserve">Затраты на приобретение оборудования и расходных материалов </t>
  </si>
  <si>
    <t xml:space="preserve">Затраты на содержание недвижимого и особо ценного движимого имущества районного бюджетного учреждения </t>
  </si>
  <si>
    <t xml:space="preserve">Общехозяйственные затраты </t>
  </si>
  <si>
    <t>Количество потребителей услуги (посещения тыс.ед.)</t>
  </si>
  <si>
    <t>Средства бюджета  городского поселения</t>
  </si>
  <si>
    <t>газ</t>
  </si>
  <si>
    <t xml:space="preserve">"Организация деятельности клубных формирований и формирований самодеятельного народного творчества" </t>
  </si>
  <si>
    <t>Средства бюджета поселения</t>
  </si>
  <si>
    <t>рублей</t>
  </si>
  <si>
    <t>Определение нормативных затрат на выполнение муниципального задания учреждениями культуры Гетуновского сельского поселения Погарского  района на 2016 год</t>
  </si>
  <si>
    <t>В соответствии с расчетами на 2017год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</si>
</sst>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00CC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" fontId="0" fillId="0" borderId="0" xfId="0" applyNumberFormat="1" applyFont="1" applyAlignment="1">
      <alignment vertical="top" wrapText="1"/>
    </xf>
    <xf numFmtId="4" fontId="0" fillId="0" borderId="0" xfId="0" applyNumberFormat="1" applyFont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2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6" fontId="0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166" fontId="0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0" fillId="0" borderId="0" xfId="0" applyNumberFormat="1" applyFont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0" fillId="0" borderId="0" xfId="0" applyNumberFormat="1" applyFont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&#1052;&#1086;&#1103;%20&#1088;&#1072;&#1089;&#1096;&#1080;&#1088;&#1077;&#1085;&#1085;&#1072;&#1103;%20&#1089;%20&#1087;&#1088;&#1072;&#1074;&#1082;&#1072;&#1084;&#1080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,213 аппарат"/>
      <sheetName val="211,213 др."/>
      <sheetName val="212"/>
      <sheetName val="221"/>
      <sheetName val="222"/>
      <sheetName val="223"/>
      <sheetName val="224"/>
      <sheetName val="225"/>
      <sheetName val="руо 225"/>
      <sheetName val="226"/>
      <sheetName val="РУО 226"/>
      <sheetName val="241"/>
      <sheetName val="251"/>
      <sheetName val="260"/>
      <sheetName val="290(851)"/>
      <sheetName val="290(852,870)"/>
      <sheetName val="310"/>
      <sheetName val="340"/>
      <sheetName val="пит.ДДУ"/>
      <sheetName val="запчасти"/>
      <sheetName val="пит.шк."/>
      <sheetName val="Прогр."/>
      <sheetName val="От пос"/>
      <sheetName val="Новая сеть"/>
      <sheetName val="Свод"/>
      <sheetName val="По учр.с ОБ"/>
      <sheetName val="По учр."/>
      <sheetName val="Обл."/>
      <sheetName val="Расчет норм.затрат"/>
    </sheetNames>
    <sheetDataSet>
      <sheetData sheetId="0"/>
      <sheetData sheetId="1"/>
      <sheetData sheetId="2"/>
      <sheetData sheetId="3">
        <row r="8">
          <cell r="B8">
            <v>29286.239999999998</v>
          </cell>
        </row>
        <row r="63">
          <cell r="F63">
            <v>18906.36</v>
          </cell>
        </row>
      </sheetData>
      <sheetData sheetId="4"/>
      <sheetData sheetId="5">
        <row r="30">
          <cell r="E30">
            <v>480215.61500000005</v>
          </cell>
        </row>
        <row r="32">
          <cell r="E32">
            <v>212355</v>
          </cell>
        </row>
        <row r="33">
          <cell r="E33">
            <v>26207.764000000003</v>
          </cell>
        </row>
        <row r="34">
          <cell r="E34">
            <v>34523.723520000007</v>
          </cell>
        </row>
      </sheetData>
      <sheetData sheetId="6"/>
      <sheetData sheetId="7">
        <row r="101">
          <cell r="C101">
            <v>113024.66</v>
          </cell>
        </row>
      </sheetData>
      <sheetData sheetId="8"/>
      <sheetData sheetId="9">
        <row r="7">
          <cell r="C7">
            <v>233323.68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G10">
            <v>35000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30">
          <cell r="J130">
            <v>10861970</v>
          </cell>
        </row>
        <row r="139">
          <cell r="J139">
            <v>236985</v>
          </cell>
        </row>
      </sheetData>
      <sheetData sheetId="26">
        <row r="77">
          <cell r="B77">
            <v>2094062.8025199999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N87"/>
  <sheetViews>
    <sheetView tabSelected="1" topLeftCell="B2" workbookViewId="0">
      <selection activeCell="L17" sqref="L17"/>
    </sheetView>
  </sheetViews>
  <sheetFormatPr defaultRowHeight="15" x14ac:dyDescent="0.25"/>
  <cols>
    <col min="1" max="1" width="4" style="4" hidden="1" customWidth="1"/>
    <col min="2" max="2" width="4" style="49" customWidth="1"/>
    <col min="3" max="3" width="57.5703125" style="27" customWidth="1"/>
    <col min="4" max="4" width="9" style="79" customWidth="1"/>
    <col min="5" max="5" width="16.140625" style="80" customWidth="1"/>
    <col min="6" max="6" width="12" style="4" hidden="1" customWidth="1"/>
    <col min="7" max="7" width="13.28515625" style="4" hidden="1" customWidth="1"/>
    <col min="8" max="8" width="10.85546875" style="4" hidden="1" customWidth="1"/>
    <col min="9" max="9" width="12.7109375" style="4" customWidth="1"/>
    <col min="10" max="10" width="10.42578125" style="4" customWidth="1"/>
    <col min="11" max="11" width="5" style="4" customWidth="1"/>
    <col min="12" max="12" width="11.42578125" style="4" bestFit="1" customWidth="1"/>
    <col min="13" max="16384" width="9.140625" style="4"/>
  </cols>
  <sheetData>
    <row r="1" spans="1:14" ht="51.75" customHeight="1" x14ac:dyDescent="0.25">
      <c r="B1" s="91" t="s">
        <v>80</v>
      </c>
      <c r="C1" s="91"/>
      <c r="D1" s="91"/>
      <c r="E1" s="91"/>
      <c r="F1" s="91"/>
      <c r="G1" s="91"/>
      <c r="H1" s="21"/>
      <c r="L1" s="21"/>
    </row>
    <row r="2" spans="1:14" ht="29.25" customHeight="1" x14ac:dyDescent="0.25">
      <c r="B2" s="92" t="s">
        <v>77</v>
      </c>
      <c r="C2" s="93"/>
      <c r="D2" s="93"/>
      <c r="E2" s="93"/>
      <c r="F2" s="93"/>
      <c r="G2" s="93"/>
      <c r="H2" s="21"/>
      <c r="L2" s="21"/>
    </row>
    <row r="3" spans="1:14" x14ac:dyDescent="0.25">
      <c r="C3" s="22"/>
      <c r="D3" s="71"/>
      <c r="E3" s="90" t="s">
        <v>79</v>
      </c>
      <c r="F3" s="21"/>
      <c r="H3" s="21"/>
      <c r="L3" s="21"/>
    </row>
    <row r="4" spans="1:14" ht="45" x14ac:dyDescent="0.25">
      <c r="A4" s="2"/>
      <c r="B4" s="39"/>
      <c r="C4" s="34"/>
      <c r="D4" s="72" t="s">
        <v>61</v>
      </c>
      <c r="E4" s="72" t="s">
        <v>78</v>
      </c>
      <c r="F4" s="67" t="s">
        <v>75</v>
      </c>
      <c r="G4" s="67" t="s">
        <v>63</v>
      </c>
      <c r="H4" s="34"/>
      <c r="I4" s="21"/>
      <c r="N4" s="21"/>
    </row>
    <row r="5" spans="1:14" ht="30" x14ac:dyDescent="0.25">
      <c r="A5" s="2"/>
      <c r="B5" s="39"/>
      <c r="C5" s="35" t="s">
        <v>60</v>
      </c>
      <c r="D5" s="64">
        <f>D9+D33</f>
        <v>100</v>
      </c>
      <c r="E5" s="81">
        <f>E6/E7</f>
        <v>30.746153846153845</v>
      </c>
      <c r="F5" s="36" t="e">
        <f>F6/F7</f>
        <v>#REF!</v>
      </c>
      <c r="G5" s="36" t="e">
        <f>G6/G7</f>
        <v>#REF!</v>
      </c>
      <c r="H5" s="36" t="e">
        <f t="shared" ref="H5" si="0">H6/H7</f>
        <v>#DIV/0!</v>
      </c>
      <c r="I5" s="21"/>
      <c r="N5" s="21"/>
    </row>
    <row r="6" spans="1:14" x14ac:dyDescent="0.25">
      <c r="A6" s="2"/>
      <c r="B6" s="39"/>
      <c r="C6" s="35" t="s">
        <v>69</v>
      </c>
      <c r="D6" s="64"/>
      <c r="E6" s="81">
        <f>E10+E34</f>
        <v>399700</v>
      </c>
      <c r="F6" s="36" t="e">
        <f>F10+F34</f>
        <v>#REF!</v>
      </c>
      <c r="G6" s="36" t="e">
        <f>G10+G34</f>
        <v>#REF!</v>
      </c>
      <c r="H6" s="36"/>
      <c r="I6" s="21"/>
      <c r="N6" s="21"/>
    </row>
    <row r="7" spans="1:14" s="33" customFormat="1" x14ac:dyDescent="0.25">
      <c r="A7" s="46"/>
      <c r="B7" s="58"/>
      <c r="C7" s="59" t="s">
        <v>74</v>
      </c>
      <c r="D7" s="73"/>
      <c r="E7" s="73">
        <v>13000</v>
      </c>
      <c r="F7" s="55">
        <v>13000</v>
      </c>
      <c r="G7" s="53"/>
      <c r="H7" s="54"/>
      <c r="I7" s="32"/>
      <c r="N7" s="32"/>
    </row>
    <row r="8" spans="1:14" s="33" customFormat="1" x14ac:dyDescent="0.25">
      <c r="A8" s="46"/>
      <c r="B8" s="58"/>
      <c r="C8" s="59" t="s">
        <v>54</v>
      </c>
      <c r="D8" s="73"/>
      <c r="E8" s="73">
        <v>1</v>
      </c>
      <c r="F8" s="56" t="e">
        <f>F5/E5</f>
        <v>#REF!</v>
      </c>
      <c r="G8" s="57" t="e">
        <f>G5/E5</f>
        <v>#REF!</v>
      </c>
      <c r="H8" s="56"/>
      <c r="I8" s="32"/>
      <c r="N8" s="32"/>
    </row>
    <row r="9" spans="1:14" s="30" customFormat="1" ht="24" x14ac:dyDescent="0.25">
      <c r="A9" s="37"/>
      <c r="B9" s="60" t="s">
        <v>56</v>
      </c>
      <c r="C9" s="41" t="s">
        <v>55</v>
      </c>
      <c r="D9" s="64">
        <f>E9/E5*100</f>
        <v>86.289717287965971</v>
      </c>
      <c r="E9" s="81">
        <f>E10/E7</f>
        <v>26.530769230769231</v>
      </c>
      <c r="F9" s="36" t="e">
        <f t="shared" ref="F9:G9" si="1">F10/F7</f>
        <v>#REF!</v>
      </c>
      <c r="G9" s="36" t="e">
        <f t="shared" si="1"/>
        <v>#REF!</v>
      </c>
      <c r="H9" s="36"/>
      <c r="I9" s="31"/>
      <c r="N9" s="31"/>
    </row>
    <row r="10" spans="1:14" s="30" customFormat="1" x14ac:dyDescent="0.25">
      <c r="A10" s="37"/>
      <c r="B10" s="60"/>
      <c r="C10" s="41" t="s">
        <v>59</v>
      </c>
      <c r="D10" s="64"/>
      <c r="E10" s="81">
        <f>E12+E17+E21</f>
        <v>344900</v>
      </c>
      <c r="F10" s="36" t="e">
        <f>F12+F17+F21</f>
        <v>#REF!</v>
      </c>
      <c r="G10" s="36" t="e">
        <f>G12+G17+G21</f>
        <v>#REF!</v>
      </c>
      <c r="H10" s="36"/>
      <c r="I10" s="31"/>
      <c r="N10" s="31"/>
    </row>
    <row r="11" spans="1:14" s="30" customFormat="1" x14ac:dyDescent="0.25">
      <c r="A11" s="37"/>
      <c r="B11" s="61" t="s">
        <v>0</v>
      </c>
      <c r="C11" s="41" t="s">
        <v>1</v>
      </c>
      <c r="D11" s="64">
        <f>E11/E5*100</f>
        <v>85.063797848386287</v>
      </c>
      <c r="E11" s="81">
        <f>E12/E7</f>
        <v>26.153846153846153</v>
      </c>
      <c r="F11" s="36" t="e">
        <f t="shared" ref="F11:G11" si="2">F12/F7</f>
        <v>#REF!</v>
      </c>
      <c r="G11" s="36" t="e">
        <f t="shared" si="2"/>
        <v>#REF!</v>
      </c>
      <c r="H11" s="36"/>
      <c r="I11" s="31"/>
      <c r="N11" s="31"/>
    </row>
    <row r="12" spans="1:14" s="30" customFormat="1" x14ac:dyDescent="0.25">
      <c r="A12" s="37"/>
      <c r="B12" s="61"/>
      <c r="C12" s="41" t="s">
        <v>70</v>
      </c>
      <c r="D12" s="65"/>
      <c r="E12" s="81">
        <f>E13</f>
        <v>340000</v>
      </c>
      <c r="F12" s="36" t="e">
        <f>F13+#REF!</f>
        <v>#REF!</v>
      </c>
      <c r="G12" s="36" t="e">
        <f>G13+#REF!</f>
        <v>#REF!</v>
      </c>
      <c r="H12" s="36"/>
      <c r="I12" s="31"/>
      <c r="N12" s="31"/>
    </row>
    <row r="13" spans="1:14" x14ac:dyDescent="0.25">
      <c r="A13" s="2"/>
      <c r="B13" s="58" t="s">
        <v>40</v>
      </c>
      <c r="C13" s="47" t="s">
        <v>81</v>
      </c>
      <c r="D13" s="74"/>
      <c r="E13" s="82">
        <f>SUM(E14:E15)</f>
        <v>340000</v>
      </c>
      <c r="F13" s="38">
        <f>SUM(F14:F15)</f>
        <v>340000</v>
      </c>
      <c r="G13" s="38">
        <f>SUM(G14:G15)</f>
        <v>0</v>
      </c>
      <c r="H13" s="38"/>
      <c r="I13" s="21"/>
      <c r="N13" s="21"/>
    </row>
    <row r="14" spans="1:14" x14ac:dyDescent="0.25">
      <c r="A14" s="2"/>
      <c r="B14" s="58"/>
      <c r="C14" s="62" t="s">
        <v>64</v>
      </c>
      <c r="D14" s="74"/>
      <c r="E14" s="82">
        <f>F14+G14+H14</f>
        <v>261000</v>
      </c>
      <c r="F14" s="40">
        <v>261000</v>
      </c>
      <c r="G14" s="40"/>
      <c r="H14" s="40"/>
      <c r="I14" s="21"/>
      <c r="N14" s="21"/>
    </row>
    <row r="15" spans="1:14" x14ac:dyDescent="0.25">
      <c r="A15" s="2"/>
      <c r="B15" s="58"/>
      <c r="C15" s="62" t="s">
        <v>65</v>
      </c>
      <c r="D15" s="74"/>
      <c r="E15" s="82">
        <f>F15+G15+H15</f>
        <v>79000</v>
      </c>
      <c r="F15" s="40">
        <v>79000</v>
      </c>
      <c r="G15" s="40"/>
      <c r="H15" s="40"/>
      <c r="I15" s="21"/>
      <c r="N15" s="21"/>
    </row>
    <row r="16" spans="1:14" ht="24" x14ac:dyDescent="0.25">
      <c r="A16" s="2"/>
      <c r="B16" s="61" t="s">
        <v>2</v>
      </c>
      <c r="C16" s="41" t="s">
        <v>3</v>
      </c>
      <c r="D16" s="65">
        <f>E16/E5*100</f>
        <v>0.75056292219164378</v>
      </c>
      <c r="E16" s="81">
        <f>E17/E7</f>
        <v>0.23076923076923078</v>
      </c>
      <c r="F16" s="43" t="e">
        <f>F17/F7</f>
        <v>#REF!</v>
      </c>
      <c r="G16" s="43" t="e">
        <f>G17/G7</f>
        <v>#REF!</v>
      </c>
      <c r="H16" s="43"/>
      <c r="I16" s="21"/>
      <c r="N16" s="21"/>
    </row>
    <row r="17" spans="1:14" s="30" customFormat="1" x14ac:dyDescent="0.25">
      <c r="A17" s="37"/>
      <c r="B17" s="61"/>
      <c r="C17" s="41" t="s">
        <v>71</v>
      </c>
      <c r="D17" s="66"/>
      <c r="E17" s="81">
        <f>E18</f>
        <v>3000</v>
      </c>
      <c r="F17" s="36" t="e">
        <f>#REF!+F18</f>
        <v>#REF!</v>
      </c>
      <c r="G17" s="36" t="e">
        <f>#REF!+G18</f>
        <v>#REF!</v>
      </c>
      <c r="H17" s="36"/>
      <c r="I17" s="31"/>
      <c r="N17" s="31"/>
    </row>
    <row r="18" spans="1:14" x14ac:dyDescent="0.25">
      <c r="A18" s="2"/>
      <c r="B18" s="58" t="s">
        <v>41</v>
      </c>
      <c r="C18" s="62" t="s">
        <v>42</v>
      </c>
      <c r="D18" s="74"/>
      <c r="E18" s="82">
        <f>SUM(E19:E19)</f>
        <v>3000</v>
      </c>
      <c r="F18" s="42">
        <f>SUM(F19:F19)</f>
        <v>3000</v>
      </c>
      <c r="G18" s="42">
        <f>SUM(G19:G19)</f>
        <v>0</v>
      </c>
      <c r="H18" s="42"/>
      <c r="I18" s="21"/>
      <c r="N18" s="21"/>
    </row>
    <row r="19" spans="1:14" x14ac:dyDescent="0.25">
      <c r="A19" s="2"/>
      <c r="B19" s="58"/>
      <c r="C19" s="62" t="s">
        <v>67</v>
      </c>
      <c r="D19" s="74"/>
      <c r="E19" s="82">
        <f>F19+G19+H19</f>
        <v>3000</v>
      </c>
      <c r="F19" s="3">
        <v>3000</v>
      </c>
      <c r="G19" s="69"/>
      <c r="H19" s="3"/>
      <c r="I19" s="21"/>
      <c r="N19" s="21"/>
    </row>
    <row r="20" spans="1:14" x14ac:dyDescent="0.25">
      <c r="A20" s="2"/>
      <c r="B20" s="61" t="s">
        <v>4</v>
      </c>
      <c r="C20" s="41" t="s">
        <v>5</v>
      </c>
      <c r="D20" s="65">
        <f>E20/E5*100</f>
        <v>0.47535651738804102</v>
      </c>
      <c r="E20" s="81">
        <f>E21/E7</f>
        <v>0.14615384615384616</v>
      </c>
      <c r="F20" s="43">
        <f>F21/F7</f>
        <v>0.14615384615384616</v>
      </c>
      <c r="G20" s="43" t="e">
        <f>G21/G7</f>
        <v>#DIV/0!</v>
      </c>
      <c r="H20" s="43"/>
      <c r="I20" s="21"/>
      <c r="N20" s="21"/>
    </row>
    <row r="21" spans="1:14" s="30" customFormat="1" x14ac:dyDescent="0.25">
      <c r="A21" s="37"/>
      <c r="B21" s="61"/>
      <c r="C21" s="41" t="s">
        <v>73</v>
      </c>
      <c r="D21" s="66"/>
      <c r="E21" s="81">
        <f>F21+G21+H21</f>
        <v>1900</v>
      </c>
      <c r="F21" s="44">
        <f>F22+F23+F24+F28+F29+F30+F31+F32</f>
        <v>1900</v>
      </c>
      <c r="G21" s="44">
        <f>G22+G23+G24+G28+G29+G30+G31+G32</f>
        <v>0</v>
      </c>
      <c r="H21" s="44"/>
      <c r="I21" s="31"/>
      <c r="N21" s="31"/>
    </row>
    <row r="22" spans="1:14" s="30" customFormat="1" x14ac:dyDescent="0.25">
      <c r="A22" s="37"/>
      <c r="B22" s="63" t="s">
        <v>45</v>
      </c>
      <c r="C22" s="62" t="s">
        <v>68</v>
      </c>
      <c r="D22" s="75"/>
      <c r="E22" s="82">
        <f>F22+G22+H22</f>
        <v>300</v>
      </c>
      <c r="F22" s="45">
        <v>300</v>
      </c>
      <c r="G22" s="68"/>
      <c r="H22" s="45"/>
      <c r="I22" s="31"/>
      <c r="N22" s="31"/>
    </row>
    <row r="23" spans="1:14" s="30" customFormat="1" x14ac:dyDescent="0.25">
      <c r="A23" s="37"/>
      <c r="B23" s="58" t="s">
        <v>46</v>
      </c>
      <c r="C23" s="62" t="s">
        <v>43</v>
      </c>
      <c r="D23" s="75"/>
      <c r="E23" s="82">
        <f>F23+G23+H23</f>
        <v>300</v>
      </c>
      <c r="F23" s="45">
        <v>300</v>
      </c>
      <c r="G23" s="68"/>
      <c r="H23" s="45"/>
      <c r="I23" s="31"/>
      <c r="N23" s="31"/>
    </row>
    <row r="24" spans="1:14" s="30" customFormat="1" hidden="1" x14ac:dyDescent="0.25">
      <c r="A24" s="37"/>
      <c r="B24" s="58" t="s">
        <v>47</v>
      </c>
      <c r="C24" s="47" t="s">
        <v>52</v>
      </c>
      <c r="D24" s="76"/>
      <c r="E24" s="82">
        <f>E25+E26+E27</f>
        <v>0</v>
      </c>
      <c r="F24" s="48">
        <f t="shared" ref="F24:G24" si="3">F25+F26+F27</f>
        <v>0</v>
      </c>
      <c r="G24" s="70">
        <f t="shared" si="3"/>
        <v>0</v>
      </c>
      <c r="H24" s="48"/>
      <c r="I24" s="31"/>
      <c r="N24" s="31"/>
    </row>
    <row r="25" spans="1:14" s="30" customFormat="1" hidden="1" x14ac:dyDescent="0.25">
      <c r="A25" s="37"/>
      <c r="B25" s="58"/>
      <c r="C25" s="47" t="s">
        <v>32</v>
      </c>
      <c r="D25" s="75"/>
      <c r="E25" s="82"/>
      <c r="F25" s="45"/>
      <c r="G25" s="68"/>
      <c r="H25" s="45"/>
      <c r="I25" s="31"/>
      <c r="N25" s="31"/>
    </row>
    <row r="26" spans="1:14" s="30" customFormat="1" hidden="1" x14ac:dyDescent="0.25">
      <c r="A26" s="37"/>
      <c r="B26" s="58"/>
      <c r="C26" s="47" t="s">
        <v>33</v>
      </c>
      <c r="D26" s="75"/>
      <c r="E26" s="82"/>
      <c r="F26" s="45"/>
      <c r="G26" s="68"/>
      <c r="H26" s="45"/>
      <c r="I26" s="31"/>
      <c r="N26" s="31"/>
    </row>
    <row r="27" spans="1:14" s="30" customFormat="1" hidden="1" x14ac:dyDescent="0.25">
      <c r="A27" s="37"/>
      <c r="B27" s="58"/>
      <c r="C27" s="47" t="s">
        <v>34</v>
      </c>
      <c r="D27" s="75"/>
      <c r="E27" s="82"/>
      <c r="F27" s="45"/>
      <c r="G27" s="68"/>
      <c r="H27" s="45"/>
      <c r="I27" s="31"/>
      <c r="N27" s="31"/>
    </row>
    <row r="28" spans="1:14" s="30" customFormat="1" x14ac:dyDescent="0.25">
      <c r="A28" s="37"/>
      <c r="B28" s="58" t="s">
        <v>48</v>
      </c>
      <c r="C28" s="47" t="s">
        <v>24</v>
      </c>
      <c r="D28" s="75"/>
      <c r="E28" s="82">
        <f>F28+G28+H28</f>
        <v>1300</v>
      </c>
      <c r="F28" s="45">
        <v>1300</v>
      </c>
      <c r="G28" s="68"/>
      <c r="H28" s="45"/>
      <c r="I28" s="31"/>
      <c r="N28" s="31"/>
    </row>
    <row r="29" spans="1:14" s="30" customFormat="1" hidden="1" x14ac:dyDescent="0.25">
      <c r="A29" s="37"/>
      <c r="B29" s="58" t="s">
        <v>49</v>
      </c>
      <c r="C29" s="47" t="s">
        <v>66</v>
      </c>
      <c r="D29" s="75"/>
      <c r="E29" s="82">
        <f>F29+G29+H29</f>
        <v>0</v>
      </c>
      <c r="F29" s="45"/>
      <c r="G29" s="68"/>
      <c r="H29" s="45"/>
      <c r="I29" s="31"/>
      <c r="N29" s="31"/>
    </row>
    <row r="30" spans="1:14" s="30" customFormat="1" hidden="1" x14ac:dyDescent="0.25">
      <c r="A30" s="37"/>
      <c r="B30" s="58" t="s">
        <v>50</v>
      </c>
      <c r="C30" s="47" t="s">
        <v>26</v>
      </c>
      <c r="D30" s="75"/>
      <c r="E30" s="82"/>
      <c r="F30" s="45"/>
      <c r="G30" s="46"/>
      <c r="H30" s="45"/>
      <c r="I30" s="31"/>
      <c r="N30" s="31"/>
    </row>
    <row r="31" spans="1:14" s="30" customFormat="1" hidden="1" x14ac:dyDescent="0.25">
      <c r="A31" s="37"/>
      <c r="B31" s="58" t="s">
        <v>51</v>
      </c>
      <c r="C31" s="62" t="s">
        <v>58</v>
      </c>
      <c r="D31" s="75"/>
      <c r="E31" s="82">
        <f>F31+G31+H31</f>
        <v>0</v>
      </c>
      <c r="F31" s="45"/>
      <c r="G31" s="46"/>
      <c r="H31" s="45"/>
      <c r="I31" s="31"/>
      <c r="N31" s="31"/>
    </row>
    <row r="32" spans="1:14" s="30" customFormat="1" hidden="1" x14ac:dyDescent="0.25">
      <c r="A32" s="37"/>
      <c r="B32" s="58" t="s">
        <v>53</v>
      </c>
      <c r="C32" s="62" t="s">
        <v>44</v>
      </c>
      <c r="D32" s="76"/>
      <c r="E32" s="82">
        <f>F32+G32+H32</f>
        <v>0</v>
      </c>
      <c r="F32" s="45"/>
      <c r="G32" s="46"/>
      <c r="H32" s="45"/>
      <c r="I32" s="31"/>
      <c r="N32" s="31"/>
    </row>
    <row r="33" spans="1:14" s="30" customFormat="1" ht="24" x14ac:dyDescent="0.25">
      <c r="B33" s="60" t="s">
        <v>57</v>
      </c>
      <c r="C33" s="41" t="s">
        <v>62</v>
      </c>
      <c r="D33" s="66">
        <f>E33/E5*100</f>
        <v>13.710282712034028</v>
      </c>
      <c r="E33" s="81">
        <f>E34/E7</f>
        <v>4.2153846153846155</v>
      </c>
      <c r="F33" s="43">
        <f>F34/F7</f>
        <v>4.2153846153846155</v>
      </c>
      <c r="G33" s="43" t="e">
        <f>G34/G7</f>
        <v>#DIV/0!</v>
      </c>
      <c r="H33" s="43"/>
      <c r="I33" s="31"/>
      <c r="N33" s="31"/>
    </row>
    <row r="34" spans="1:14" s="30" customFormat="1" ht="24" x14ac:dyDescent="0.25">
      <c r="B34" s="60"/>
      <c r="C34" s="41" t="s">
        <v>72</v>
      </c>
      <c r="D34" s="66"/>
      <c r="E34" s="81">
        <f>E35+E39+E40+E41</f>
        <v>54800</v>
      </c>
      <c r="F34" s="43">
        <f t="shared" ref="F34:G34" si="4">F35+F39+F40+F41</f>
        <v>54800</v>
      </c>
      <c r="G34" s="43">
        <f t="shared" si="4"/>
        <v>0</v>
      </c>
      <c r="H34" s="43"/>
      <c r="I34" s="31"/>
      <c r="N34" s="31"/>
    </row>
    <row r="35" spans="1:14" s="30" customFormat="1" x14ac:dyDescent="0.25">
      <c r="A35" s="37"/>
      <c r="B35" s="58">
        <v>1</v>
      </c>
      <c r="C35" s="47" t="s">
        <v>52</v>
      </c>
      <c r="D35" s="76"/>
      <c r="E35" s="82">
        <f>E36+E37+E38</f>
        <v>17800</v>
      </c>
      <c r="F35" s="48">
        <f t="shared" ref="F35:G35" si="5">F36+F37+F38</f>
        <v>17800</v>
      </c>
      <c r="G35" s="48">
        <f t="shared" si="5"/>
        <v>0</v>
      </c>
      <c r="H35" s="48"/>
      <c r="I35" s="31"/>
      <c r="N35" s="31"/>
    </row>
    <row r="36" spans="1:14" s="30" customFormat="1" x14ac:dyDescent="0.25">
      <c r="A36" s="37"/>
      <c r="B36" s="58"/>
      <c r="C36" s="47" t="s">
        <v>76</v>
      </c>
      <c r="D36" s="75"/>
      <c r="E36" s="82">
        <f t="shared" ref="E36:E41" si="6">F36+G36+H36</f>
        <v>12000</v>
      </c>
      <c r="F36" s="45">
        <v>12000</v>
      </c>
      <c r="G36" s="68"/>
      <c r="H36" s="45"/>
      <c r="I36" s="31"/>
      <c r="N36" s="31"/>
    </row>
    <row r="37" spans="1:14" s="30" customFormat="1" x14ac:dyDescent="0.25">
      <c r="A37" s="37"/>
      <c r="B37" s="58"/>
      <c r="C37" s="47" t="s">
        <v>33</v>
      </c>
      <c r="D37" s="75"/>
      <c r="E37" s="82">
        <f t="shared" si="6"/>
        <v>5800</v>
      </c>
      <c r="F37" s="45">
        <v>5800</v>
      </c>
      <c r="G37" s="68"/>
      <c r="H37" s="45"/>
      <c r="I37" s="31"/>
      <c r="N37" s="31"/>
    </row>
    <row r="38" spans="1:14" s="30" customFormat="1" hidden="1" x14ac:dyDescent="0.25">
      <c r="A38" s="37"/>
      <c r="B38" s="58"/>
      <c r="C38" s="47" t="s">
        <v>34</v>
      </c>
      <c r="D38" s="75"/>
      <c r="E38" s="82">
        <f t="shared" si="6"/>
        <v>0</v>
      </c>
      <c r="F38" s="45"/>
      <c r="G38" s="68"/>
      <c r="H38" s="45"/>
      <c r="I38" s="31"/>
      <c r="N38" s="31"/>
    </row>
    <row r="39" spans="1:14" s="30" customFormat="1" x14ac:dyDescent="0.25">
      <c r="A39" s="37"/>
      <c r="B39" s="58">
        <v>2</v>
      </c>
      <c r="C39" s="47" t="s">
        <v>25</v>
      </c>
      <c r="D39" s="75"/>
      <c r="E39" s="82">
        <f t="shared" si="6"/>
        <v>3000</v>
      </c>
      <c r="F39" s="45">
        <v>3000</v>
      </c>
      <c r="G39" s="46"/>
      <c r="H39" s="45"/>
      <c r="I39" s="31"/>
      <c r="N39" s="31"/>
    </row>
    <row r="40" spans="1:14" s="30" customFormat="1" x14ac:dyDescent="0.25">
      <c r="A40" s="37"/>
      <c r="B40" s="58">
        <v>3</v>
      </c>
      <c r="C40" s="47" t="s">
        <v>26</v>
      </c>
      <c r="D40" s="75"/>
      <c r="E40" s="82">
        <f t="shared" si="6"/>
        <v>4000</v>
      </c>
      <c r="F40" s="45">
        <v>4000</v>
      </c>
      <c r="G40" s="46"/>
      <c r="H40" s="45"/>
      <c r="I40" s="31"/>
      <c r="N40" s="31"/>
    </row>
    <row r="41" spans="1:14" x14ac:dyDescent="0.25">
      <c r="B41" s="58">
        <v>4</v>
      </c>
      <c r="C41" s="59" t="s">
        <v>58</v>
      </c>
      <c r="D41" s="72"/>
      <c r="E41" s="82">
        <f t="shared" si="6"/>
        <v>30000</v>
      </c>
      <c r="F41" s="3">
        <v>30000</v>
      </c>
      <c r="G41" s="2"/>
      <c r="H41" s="3"/>
      <c r="I41" s="21"/>
      <c r="N41" s="21"/>
    </row>
    <row r="42" spans="1:14" x14ac:dyDescent="0.25">
      <c r="C42" s="52"/>
      <c r="D42" s="71"/>
      <c r="F42" s="21"/>
      <c r="H42" s="21"/>
      <c r="L42" s="21"/>
    </row>
    <row r="43" spans="1:14" x14ac:dyDescent="0.25">
      <c r="C43" s="52"/>
      <c r="D43" s="71"/>
      <c r="F43" s="21"/>
      <c r="H43" s="21"/>
      <c r="L43" s="21"/>
    </row>
    <row r="44" spans="1:14" hidden="1" x14ac:dyDescent="0.25">
      <c r="A44" s="29">
        <f>B44+G44+K44</f>
        <v>573</v>
      </c>
      <c r="B44" s="51">
        <v>138</v>
      </c>
      <c r="C44" s="24" t="s">
        <v>6</v>
      </c>
      <c r="D44" s="75"/>
      <c r="E44" s="83" t="s">
        <v>7</v>
      </c>
      <c r="F44" s="3"/>
      <c r="G44" s="1">
        <v>280</v>
      </c>
      <c r="H44" s="2"/>
      <c r="I44" s="3" t="e">
        <f>#REF!-#REF!</f>
        <v>#REF!</v>
      </c>
      <c r="J44" s="2"/>
      <c r="K44" s="2">
        <v>155</v>
      </c>
      <c r="L44" s="2" t="s">
        <v>8</v>
      </c>
      <c r="M44" s="2"/>
      <c r="N44" s="2"/>
    </row>
    <row r="45" spans="1:14" hidden="1" x14ac:dyDescent="0.25">
      <c r="B45" s="94" t="s">
        <v>9</v>
      </c>
      <c r="C45" s="94"/>
      <c r="D45" s="77"/>
      <c r="E45" s="84">
        <f>E50+E59</f>
        <v>53172.266684927534</v>
      </c>
      <c r="F45" s="3" t="e">
        <f>#REF!-#REF!</f>
        <v>#REF!</v>
      </c>
      <c r="G45" s="6" t="e">
        <f>#REF!/#REF!</f>
        <v>#REF!</v>
      </c>
      <c r="H45" s="5"/>
      <c r="I45" s="6" t="e">
        <f>#REF!/#REF!</f>
        <v>#REF!</v>
      </c>
      <c r="J45" s="3" t="e">
        <f>#REF!-#REF!</f>
        <v>#REF!</v>
      </c>
      <c r="K45" s="2"/>
      <c r="L45" s="5">
        <f>L50+L59</f>
        <v>58402.193290322582</v>
      </c>
      <c r="M45" s="2"/>
      <c r="N45" s="2"/>
    </row>
    <row r="46" spans="1:14" hidden="1" x14ac:dyDescent="0.25">
      <c r="B46" s="39"/>
      <c r="C46" s="24" t="s">
        <v>10</v>
      </c>
      <c r="D46" s="75"/>
      <c r="E46" s="69">
        <f>E50</f>
        <v>36758.8768115942</v>
      </c>
      <c r="F46" s="3"/>
      <c r="G46" s="2"/>
      <c r="H46" s="6"/>
      <c r="I46" s="2" t="e">
        <f>#REF!/G44</f>
        <v>#REF!</v>
      </c>
      <c r="J46" s="2"/>
      <c r="K46" s="2"/>
      <c r="L46" s="6">
        <f>L50</f>
        <v>35768.129032258068</v>
      </c>
      <c r="M46" s="2"/>
      <c r="N46" s="2"/>
    </row>
    <row r="47" spans="1:14" ht="24" hidden="1" x14ac:dyDescent="0.25">
      <c r="B47" s="39"/>
      <c r="C47" s="24" t="s">
        <v>11</v>
      </c>
      <c r="D47" s="75"/>
      <c r="E47" s="69"/>
      <c r="F47" s="2"/>
      <c r="G47" s="2"/>
      <c r="H47" s="6"/>
      <c r="I47" s="6"/>
      <c r="J47" s="6"/>
      <c r="K47" s="6"/>
      <c r="L47" s="6">
        <f t="shared" ref="L47" si="7">L60</f>
        <v>15351.980645161289</v>
      </c>
      <c r="M47" s="2"/>
      <c r="N47" s="2"/>
    </row>
    <row r="48" spans="1:14" ht="23.25" hidden="1" customHeight="1" x14ac:dyDescent="0.25">
      <c r="B48" s="39"/>
      <c r="C48" s="24" t="s">
        <v>12</v>
      </c>
      <c r="D48" s="75"/>
      <c r="E48" s="69">
        <f>E59</f>
        <v>16413.389873333334</v>
      </c>
      <c r="F48" s="2"/>
      <c r="G48" s="2"/>
      <c r="H48" s="6"/>
      <c r="I48" s="2"/>
      <c r="J48" s="2"/>
      <c r="K48" s="2"/>
      <c r="L48" s="6">
        <f>L59</f>
        <v>22634.064258064514</v>
      </c>
      <c r="M48" s="2"/>
      <c r="N48" s="2"/>
    </row>
    <row r="49" spans="2:14" hidden="1" x14ac:dyDescent="0.25">
      <c r="B49" s="39"/>
      <c r="C49" s="24"/>
      <c r="D49" s="75"/>
      <c r="E49" s="69"/>
      <c r="F49" s="2"/>
      <c r="G49" s="2"/>
      <c r="H49" s="2"/>
      <c r="I49" s="2"/>
      <c r="J49" s="2"/>
      <c r="K49" s="2"/>
      <c r="L49" s="2"/>
      <c r="M49" s="2"/>
      <c r="N49" s="2"/>
    </row>
    <row r="50" spans="2:14" hidden="1" x14ac:dyDescent="0.25">
      <c r="B50" s="94" t="s">
        <v>13</v>
      </c>
      <c r="C50" s="94"/>
      <c r="D50" s="77"/>
      <c r="E50" s="84">
        <f>E57/B44</f>
        <v>36758.8768115942</v>
      </c>
      <c r="F50" s="7"/>
      <c r="G50" s="7"/>
      <c r="H50" s="5"/>
      <c r="I50" s="7"/>
      <c r="J50" s="2"/>
      <c r="K50" s="2"/>
      <c r="L50" s="5">
        <f>L57/K44</f>
        <v>35768.129032258068</v>
      </c>
      <c r="M50" s="2"/>
      <c r="N50" s="2"/>
    </row>
    <row r="51" spans="2:14" hidden="1" x14ac:dyDescent="0.25">
      <c r="B51" s="39"/>
      <c r="C51" s="24" t="s">
        <v>14</v>
      </c>
      <c r="D51" s="75"/>
      <c r="E51" s="69" t="e">
        <f>#REF!*12</f>
        <v>#REF!</v>
      </c>
      <c r="F51" s="2"/>
      <c r="G51" s="2"/>
      <c r="H51" s="2"/>
      <c r="I51" s="2"/>
      <c r="J51" s="2"/>
      <c r="K51" s="2"/>
      <c r="L51" s="2"/>
      <c r="M51" s="2"/>
      <c r="N51" s="2"/>
    </row>
    <row r="52" spans="2:14" hidden="1" x14ac:dyDescent="0.25">
      <c r="B52" s="39"/>
      <c r="C52" s="24" t="s">
        <v>15</v>
      </c>
      <c r="D52" s="75"/>
      <c r="E52" s="69" t="e">
        <f>#REF!*12</f>
        <v>#REF!</v>
      </c>
      <c r="F52" s="2"/>
      <c r="G52" s="2"/>
      <c r="H52" s="2"/>
      <c r="I52" s="2"/>
      <c r="J52" s="2"/>
      <c r="K52" s="2"/>
      <c r="L52" s="2"/>
      <c r="M52" s="2"/>
      <c r="N52" s="2"/>
    </row>
    <row r="53" spans="2:14" hidden="1" x14ac:dyDescent="0.25">
      <c r="B53" s="39"/>
      <c r="C53" s="24" t="s">
        <v>16</v>
      </c>
      <c r="D53" s="75"/>
      <c r="E53" s="69" t="e">
        <f>#REF!*12</f>
        <v>#REF!</v>
      </c>
      <c r="F53" s="2"/>
      <c r="G53" s="2"/>
      <c r="H53" s="2"/>
      <c r="I53" s="2"/>
      <c r="J53" s="2"/>
      <c r="K53" s="2"/>
      <c r="L53" s="2"/>
      <c r="M53" s="2"/>
      <c r="N53" s="2"/>
    </row>
    <row r="54" spans="2:14" hidden="1" x14ac:dyDescent="0.25">
      <c r="B54" s="39"/>
      <c r="C54" s="24" t="s">
        <v>17</v>
      </c>
      <c r="D54" s="75"/>
      <c r="E54" s="69">
        <v>66000</v>
      </c>
      <c r="F54" s="2"/>
      <c r="G54" s="2"/>
      <c r="H54" s="2"/>
      <c r="I54" s="2"/>
      <c r="J54" s="2"/>
      <c r="K54" s="2"/>
      <c r="L54" s="2"/>
      <c r="M54" s="2"/>
      <c r="N54" s="2"/>
    </row>
    <row r="55" spans="2:14" hidden="1" x14ac:dyDescent="0.25">
      <c r="B55" s="39"/>
      <c r="C55" s="24" t="s">
        <v>18</v>
      </c>
      <c r="D55" s="75"/>
      <c r="E55" s="69" t="e">
        <f>(E51+E52+E53)*0.302</f>
        <v>#REF!</v>
      </c>
      <c r="F55" s="2"/>
      <c r="G55" s="2"/>
      <c r="H55" s="2"/>
      <c r="I55" s="2"/>
      <c r="J55" s="2"/>
      <c r="K55" s="2"/>
      <c r="L55" s="2"/>
      <c r="M55" s="2"/>
      <c r="N55" s="2"/>
    </row>
    <row r="56" spans="2:14" hidden="1" x14ac:dyDescent="0.25">
      <c r="B56" s="39"/>
      <c r="C56" s="24" t="s">
        <v>19</v>
      </c>
      <c r="D56" s="75"/>
      <c r="E56" s="85" t="e">
        <f>E51+E52+E53+E54+E55</f>
        <v>#REF!</v>
      </c>
      <c r="F56" s="8"/>
      <c r="G56" s="8"/>
      <c r="H56" s="8"/>
      <c r="I56" s="6"/>
      <c r="J56" s="2"/>
      <c r="K56" s="2"/>
      <c r="L56" s="8"/>
      <c r="M56" s="2"/>
      <c r="N56" s="2"/>
    </row>
    <row r="57" spans="2:14" hidden="1" x14ac:dyDescent="0.25">
      <c r="B57" s="39"/>
      <c r="C57" s="24" t="s">
        <v>20</v>
      </c>
      <c r="D57" s="75"/>
      <c r="E57" s="86">
        <f>4981525+66000+25200</f>
        <v>5072725</v>
      </c>
      <c r="F57" s="2"/>
      <c r="G57" s="2"/>
      <c r="H57" s="9"/>
      <c r="I57" s="2"/>
      <c r="J57" s="2"/>
      <c r="K57" s="2"/>
      <c r="L57" s="9">
        <f>5515260+28800</f>
        <v>5544060</v>
      </c>
      <c r="M57" s="2"/>
      <c r="N57" s="2"/>
    </row>
    <row r="58" spans="2:14" ht="4.5" hidden="1" customHeight="1" x14ac:dyDescent="0.25">
      <c r="B58" s="39"/>
      <c r="C58" s="24"/>
      <c r="D58" s="75"/>
      <c r="E58" s="69"/>
      <c r="F58" s="2"/>
      <c r="G58" s="2"/>
      <c r="H58" s="2"/>
      <c r="I58" s="2"/>
      <c r="J58" s="2"/>
      <c r="K58" s="2"/>
      <c r="L58" s="2"/>
      <c r="M58" s="2"/>
      <c r="N58" s="2"/>
    </row>
    <row r="59" spans="2:14" hidden="1" x14ac:dyDescent="0.25">
      <c r="B59" s="94" t="s">
        <v>21</v>
      </c>
      <c r="C59" s="94"/>
      <c r="D59" s="77"/>
      <c r="E59" s="84">
        <f>E60+E72+E78</f>
        <v>16413.389873333334</v>
      </c>
      <c r="F59" s="2"/>
      <c r="G59" s="2"/>
      <c r="H59" s="5"/>
      <c r="I59" s="2"/>
      <c r="J59" s="2"/>
      <c r="K59" s="2"/>
      <c r="L59" s="5">
        <f>L60+L72+L78</f>
        <v>22634.064258064514</v>
      </c>
      <c r="M59" s="2"/>
      <c r="N59" s="2"/>
    </row>
    <row r="60" spans="2:14" hidden="1" x14ac:dyDescent="0.25">
      <c r="B60" s="39"/>
      <c r="C60" s="25" t="s">
        <v>22</v>
      </c>
      <c r="D60" s="78"/>
      <c r="E60" s="87">
        <f>E61/B44</f>
        <v>5166.2876811594197</v>
      </c>
      <c r="F60" s="2"/>
      <c r="G60" s="11"/>
      <c r="H60" s="10"/>
      <c r="I60" s="2"/>
      <c r="J60" s="2"/>
      <c r="K60" s="2"/>
      <c r="L60" s="10">
        <f>L61/K44</f>
        <v>15351.980645161289</v>
      </c>
      <c r="M60" s="2"/>
      <c r="N60" s="2"/>
    </row>
    <row r="61" spans="2:14" hidden="1" x14ac:dyDescent="0.25">
      <c r="B61" s="50"/>
      <c r="C61" s="24" t="s">
        <v>23</v>
      </c>
      <c r="D61" s="75"/>
      <c r="E61" s="88">
        <f>SUM(E62:E70)</f>
        <v>712947.7</v>
      </c>
      <c r="F61" s="2"/>
      <c r="G61" s="11"/>
      <c r="H61" s="12"/>
      <c r="I61" s="2"/>
      <c r="J61" s="2"/>
      <c r="K61" s="2"/>
      <c r="L61" s="12">
        <f>SUM(L62:L70)</f>
        <v>2379557</v>
      </c>
      <c r="M61" s="2"/>
      <c r="N61" s="2"/>
    </row>
    <row r="62" spans="2:14" hidden="1" x14ac:dyDescent="0.25">
      <c r="B62" s="50"/>
      <c r="C62" s="26">
        <v>212</v>
      </c>
      <c r="D62" s="75"/>
      <c r="E62" s="88">
        <v>1000</v>
      </c>
      <c r="F62" s="2"/>
      <c r="G62" s="11"/>
      <c r="H62" s="12"/>
      <c r="I62" s="2"/>
      <c r="J62" s="2"/>
      <c r="K62" s="2"/>
      <c r="L62" s="12">
        <v>7200</v>
      </c>
      <c r="M62" s="2"/>
      <c r="N62" s="2"/>
    </row>
    <row r="63" spans="2:14" hidden="1" x14ac:dyDescent="0.25">
      <c r="B63" s="50"/>
      <c r="C63" s="26">
        <v>222</v>
      </c>
      <c r="D63" s="75"/>
      <c r="E63" s="88"/>
      <c r="F63" s="2"/>
      <c r="G63" s="11"/>
      <c r="H63" s="12"/>
      <c r="I63" s="2"/>
      <c r="J63" s="2"/>
      <c r="K63" s="2"/>
      <c r="L63" s="12">
        <v>13680</v>
      </c>
      <c r="M63" s="2"/>
      <c r="N63" s="2"/>
    </row>
    <row r="64" spans="2:14" hidden="1" x14ac:dyDescent="0.25">
      <c r="B64" s="39"/>
      <c r="C64" s="24" t="s">
        <v>24</v>
      </c>
      <c r="D64" s="75"/>
      <c r="E64" s="88">
        <f>'[1]221'!F63</f>
        <v>18906.36</v>
      </c>
      <c r="F64" s="2"/>
      <c r="G64" s="11"/>
      <c r="H64" s="13"/>
      <c r="I64" s="2"/>
      <c r="J64" s="2"/>
      <c r="K64" s="2"/>
      <c r="L64" s="13">
        <v>12660</v>
      </c>
      <c r="M64" s="2"/>
      <c r="N64" s="2"/>
    </row>
    <row r="65" spans="2:14" hidden="1" x14ac:dyDescent="0.25">
      <c r="B65" s="39"/>
      <c r="C65" s="24" t="s">
        <v>25</v>
      </c>
      <c r="D65" s="75"/>
      <c r="E65" s="88">
        <f>'[1]225'!C101</f>
        <v>113024.66</v>
      </c>
      <c r="F65" s="2"/>
      <c r="G65" s="11"/>
      <c r="H65" s="12"/>
      <c r="I65" s="2"/>
      <c r="J65" s="2"/>
      <c r="K65" s="2"/>
      <c r="L65" s="12">
        <v>195512</v>
      </c>
      <c r="M65" s="2"/>
      <c r="N65" s="2"/>
    </row>
    <row r="66" spans="2:14" hidden="1" x14ac:dyDescent="0.25">
      <c r="B66" s="39"/>
      <c r="C66" s="24" t="s">
        <v>26</v>
      </c>
      <c r="D66" s="75"/>
      <c r="E66" s="88">
        <f>'[1]226'!C7</f>
        <v>233323.68</v>
      </c>
      <c r="F66" s="2"/>
      <c r="G66" s="11"/>
      <c r="H66" s="11"/>
      <c r="I66" s="2"/>
      <c r="J66" s="2"/>
      <c r="K66" s="2"/>
      <c r="L66" s="11">
        <v>246654</v>
      </c>
      <c r="M66" s="2"/>
      <c r="N66" s="2"/>
    </row>
    <row r="67" spans="2:14" hidden="1" x14ac:dyDescent="0.25">
      <c r="B67" s="39"/>
      <c r="C67" s="26">
        <v>290</v>
      </c>
      <c r="D67" s="75"/>
      <c r="E67" s="88">
        <f>47708+27000</f>
        <v>74708</v>
      </c>
      <c r="F67" s="2"/>
      <c r="G67" s="11"/>
      <c r="H67" s="11"/>
      <c r="I67" s="2"/>
      <c r="J67" s="2"/>
      <c r="K67" s="2"/>
      <c r="L67" s="11">
        <v>1026586</v>
      </c>
      <c r="M67" s="2"/>
      <c r="N67" s="2"/>
    </row>
    <row r="68" spans="2:14" hidden="1" x14ac:dyDescent="0.25">
      <c r="B68" s="39"/>
      <c r="C68" s="24" t="s">
        <v>27</v>
      </c>
      <c r="D68" s="75"/>
      <c r="E68" s="89">
        <f>'[1]По учр.с ОБ'!J139</f>
        <v>236985</v>
      </c>
      <c r="F68" s="2"/>
      <c r="G68" s="11"/>
      <c r="H68" s="14"/>
      <c r="I68" s="2"/>
      <c r="J68" s="2"/>
      <c r="K68" s="2"/>
      <c r="L68" s="14">
        <f>290276-28800</f>
        <v>261476</v>
      </c>
      <c r="M68" s="2"/>
      <c r="N68" s="2"/>
    </row>
    <row r="69" spans="2:14" hidden="1" x14ac:dyDescent="0.25">
      <c r="B69" s="39"/>
      <c r="C69" s="24" t="s">
        <v>28</v>
      </c>
      <c r="D69" s="75"/>
      <c r="E69" s="89"/>
      <c r="F69" s="2"/>
      <c r="G69" s="11"/>
      <c r="H69" s="14"/>
      <c r="I69" s="2"/>
      <c r="J69" s="2"/>
      <c r="K69" s="2"/>
      <c r="L69" s="23">
        <v>371279</v>
      </c>
      <c r="M69" s="2"/>
      <c r="N69" s="2"/>
    </row>
    <row r="70" spans="2:14" ht="17.25" hidden="1" customHeight="1" x14ac:dyDescent="0.25">
      <c r="B70" s="39"/>
      <c r="C70" s="24" t="s">
        <v>29</v>
      </c>
      <c r="D70" s="75"/>
      <c r="E70" s="88">
        <f>'[1]340'!G10</f>
        <v>35000</v>
      </c>
      <c r="F70" s="2"/>
      <c r="G70" s="11"/>
      <c r="H70" s="13"/>
      <c r="I70" s="2"/>
      <c r="J70" s="2"/>
      <c r="K70" s="2"/>
      <c r="L70" s="13">
        <f>813050-L79</f>
        <v>244510</v>
      </c>
      <c r="M70" s="2"/>
      <c r="N70" s="2"/>
    </row>
    <row r="71" spans="2:14" ht="6" hidden="1" customHeight="1" x14ac:dyDescent="0.25">
      <c r="B71" s="39"/>
      <c r="C71" s="24"/>
      <c r="D71" s="75"/>
      <c r="E71" s="88"/>
      <c r="F71" s="11"/>
      <c r="G71" s="11"/>
      <c r="H71" s="11"/>
      <c r="I71" s="2"/>
      <c r="J71" s="2"/>
      <c r="K71" s="2"/>
      <c r="L71" s="11"/>
      <c r="M71" s="2"/>
      <c r="N71" s="2"/>
    </row>
    <row r="72" spans="2:14" s="16" customFormat="1" hidden="1" x14ac:dyDescent="0.25">
      <c r="B72" s="50"/>
      <c r="C72" s="25" t="s">
        <v>30</v>
      </c>
      <c r="D72" s="78"/>
      <c r="E72" s="87">
        <f>E73/B44</f>
        <v>5458.7108878260869</v>
      </c>
      <c r="F72" s="15"/>
      <c r="G72" s="15"/>
      <c r="H72" s="15"/>
      <c r="I72" s="8"/>
      <c r="J72" s="8"/>
      <c r="K72" s="8"/>
      <c r="L72" s="15">
        <f>L73/K44</f>
        <v>3614.0836129032255</v>
      </c>
      <c r="M72" s="8"/>
      <c r="N72" s="8"/>
    </row>
    <row r="73" spans="2:14" s="16" customFormat="1" hidden="1" x14ac:dyDescent="0.25">
      <c r="B73" s="50"/>
      <c r="C73" s="25" t="s">
        <v>31</v>
      </c>
      <c r="D73" s="78"/>
      <c r="E73" s="87">
        <f>E74+E75+E76</f>
        <v>753302.10251999996</v>
      </c>
      <c r="F73" s="15"/>
      <c r="G73" s="15"/>
      <c r="H73" s="15"/>
      <c r="I73" s="8"/>
      <c r="J73" s="8"/>
      <c r="K73" s="8"/>
      <c r="L73" s="15">
        <f>L74+L75+L76</f>
        <v>560182.96</v>
      </c>
      <c r="M73" s="8"/>
      <c r="N73" s="8"/>
    </row>
    <row r="74" spans="2:14" hidden="1" x14ac:dyDescent="0.25">
      <c r="B74" s="39"/>
      <c r="C74" s="24" t="s">
        <v>32</v>
      </c>
      <c r="D74" s="75"/>
      <c r="E74" s="88">
        <f>'[1]223'!E30</f>
        <v>480215.61500000005</v>
      </c>
      <c r="F74" s="11"/>
      <c r="G74" s="11"/>
      <c r="H74" s="12"/>
      <c r="I74" s="2"/>
      <c r="J74" s="2"/>
      <c r="K74" s="2"/>
      <c r="L74" s="12">
        <v>225239.76</v>
      </c>
      <c r="M74" s="2"/>
      <c r="N74" s="2"/>
    </row>
    <row r="75" spans="2:14" hidden="1" x14ac:dyDescent="0.25">
      <c r="B75" s="39"/>
      <c r="C75" s="24" t="s">
        <v>33</v>
      </c>
      <c r="D75" s="75"/>
      <c r="E75" s="88">
        <f>'[1]223'!E32</f>
        <v>212355</v>
      </c>
      <c r="F75" s="11"/>
      <c r="G75" s="11"/>
      <c r="H75" s="12"/>
      <c r="I75" s="2"/>
      <c r="J75" s="2"/>
      <c r="K75" s="2"/>
      <c r="L75" s="12">
        <v>284610</v>
      </c>
      <c r="M75" s="2"/>
      <c r="N75" s="2"/>
    </row>
    <row r="76" spans="2:14" hidden="1" x14ac:dyDescent="0.25">
      <c r="B76" s="39"/>
      <c r="C76" s="24" t="s">
        <v>34</v>
      </c>
      <c r="D76" s="75"/>
      <c r="E76" s="88">
        <f>'[1]223'!E33+'[1]223'!E34</f>
        <v>60731.48752000001</v>
      </c>
      <c r="F76" s="11"/>
      <c r="G76" s="11"/>
      <c r="H76" s="12"/>
      <c r="I76" s="2"/>
      <c r="J76" s="2"/>
      <c r="K76" s="2"/>
      <c r="L76" s="12">
        <f>19890.4+30442.8</f>
        <v>50333.2</v>
      </c>
      <c r="M76" s="2"/>
      <c r="N76" s="2"/>
    </row>
    <row r="77" spans="2:14" ht="4.5" hidden="1" customHeight="1" x14ac:dyDescent="0.25">
      <c r="B77" s="39"/>
      <c r="C77" s="24"/>
      <c r="D77" s="75"/>
      <c r="E77" s="88"/>
      <c r="F77" s="11"/>
      <c r="G77" s="11"/>
      <c r="H77" s="11"/>
      <c r="I77" s="2"/>
      <c r="J77" s="2"/>
      <c r="K77" s="2"/>
      <c r="L77" s="11"/>
      <c r="M77" s="2"/>
      <c r="N77" s="2"/>
    </row>
    <row r="78" spans="2:14" s="16" customFormat="1" hidden="1" x14ac:dyDescent="0.25">
      <c r="B78" s="50"/>
      <c r="C78" s="25" t="s">
        <v>35</v>
      </c>
      <c r="D78" s="78"/>
      <c r="E78" s="87">
        <f>E79/B44</f>
        <v>5788.391304347826</v>
      </c>
      <c r="F78" s="15"/>
      <c r="G78" s="15"/>
      <c r="H78" s="15"/>
      <c r="I78" s="8"/>
      <c r="J78" s="8"/>
      <c r="K78" s="8"/>
      <c r="L78" s="15">
        <f>L79/K44</f>
        <v>3668</v>
      </c>
      <c r="M78" s="8"/>
      <c r="N78" s="8"/>
    </row>
    <row r="79" spans="2:14" hidden="1" x14ac:dyDescent="0.25">
      <c r="B79" s="39"/>
      <c r="C79" s="24" t="s">
        <v>36</v>
      </c>
      <c r="D79" s="75"/>
      <c r="E79" s="88">
        <f>140*247*35*66/100</f>
        <v>798798</v>
      </c>
      <c r="F79" s="11"/>
      <c r="G79" s="11"/>
      <c r="H79" s="17"/>
      <c r="I79" s="2"/>
      <c r="J79" s="2"/>
      <c r="K79" s="2"/>
      <c r="L79" s="17">
        <f>155*131*35*80/100</f>
        <v>568540</v>
      </c>
      <c r="M79" s="2"/>
      <c r="N79" s="2"/>
    </row>
    <row r="80" spans="2:14" hidden="1" x14ac:dyDescent="0.25">
      <c r="C80" s="27" t="s">
        <v>37</v>
      </c>
      <c r="E80" s="18">
        <f>(140*247*35*77.7085)/100</f>
        <v>940505.97549999994</v>
      </c>
      <c r="F80" s="19"/>
      <c r="G80" s="20"/>
      <c r="H80" s="20"/>
      <c r="I80" s="21"/>
    </row>
    <row r="81" spans="3:12" hidden="1" x14ac:dyDescent="0.25">
      <c r="C81" s="27" t="s">
        <v>38</v>
      </c>
      <c r="E81" s="18"/>
      <c r="F81" s="20"/>
      <c r="G81" s="20"/>
      <c r="H81" s="20"/>
    </row>
    <row r="82" spans="3:12" hidden="1" x14ac:dyDescent="0.25">
      <c r="C82" s="27" t="s">
        <v>39</v>
      </c>
      <c r="E82" s="80">
        <f>66000+E62+E64+E65+E66+E67+E69+E70+E73+E79</f>
        <v>2094062.8025199999</v>
      </c>
      <c r="H82" s="28"/>
      <c r="L82" s="28">
        <f>L62+L63+L64+L65+L66+L67+L69+L70+L73+L79</f>
        <v>3246803.96</v>
      </c>
    </row>
    <row r="83" spans="3:12" hidden="1" x14ac:dyDescent="0.25"/>
    <row r="84" spans="3:12" hidden="1" x14ac:dyDescent="0.25"/>
    <row r="85" spans="3:12" hidden="1" x14ac:dyDescent="0.25"/>
    <row r="86" spans="3:12" hidden="1" x14ac:dyDescent="0.25"/>
    <row r="87" spans="3:12" hidden="1" x14ac:dyDescent="0.25"/>
  </sheetData>
  <mergeCells count="5">
    <mergeCell ref="B1:G1"/>
    <mergeCell ref="B2:G2"/>
    <mergeCell ref="B45:C45"/>
    <mergeCell ref="B50:C50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Культура 2017</vt:lpstr>
      <vt:lpstr>Лист3 (2)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2017-01-19T11:17:06Z</dcterms:modified>
</cp:coreProperties>
</file>